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G-Standaard\Farmacogenetica\VKORC1\"/>
    </mc:Choice>
  </mc:AlternateContent>
  <bookViews>
    <workbookView xWindow="0" yWindow="0" windowWidth="25200" windowHeight="12135"/>
  </bookViews>
  <sheets>
    <sheet name="EU-PACT Dose Calculator" sheetId="3" r:id="rId1"/>
    <sheet name="Information EU-PACT" sheetId="4" r:id="rId2"/>
    <sheet name="Formula maintenance dose" sheetId="1" r:id="rId3"/>
    <sheet name="Formula loading dose" sheetId="2" r:id="rId4"/>
  </sheets>
  <definedNames>
    <definedName name="_xlnm._FilterDatabase" localSheetId="0" hidden="1">'EU-PACT Dose Calculator'!$B$4:$H$13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7" i="3" l="1"/>
  <c r="C150" i="3"/>
  <c r="C148" i="3"/>
  <c r="C153" i="3" s="1"/>
  <c r="B148" i="3" s="1"/>
  <c r="B35" i="3" s="1"/>
  <c r="B143" i="3"/>
  <c r="C140" i="3"/>
  <c r="C139" i="3"/>
  <c r="B134" i="3"/>
  <c r="E131" i="3"/>
  <c r="D131" i="3"/>
  <c r="C131" i="3"/>
  <c r="E130" i="3"/>
  <c r="D130" i="3"/>
  <c r="C130" i="3"/>
  <c r="C123" i="3"/>
  <c r="C122" i="3"/>
  <c r="D100" i="3"/>
  <c r="D98" i="3"/>
  <c r="D96" i="3"/>
  <c r="D92" i="3"/>
  <c r="D78" i="3"/>
  <c r="D76" i="3"/>
  <c r="D74" i="3"/>
  <c r="L72" i="3"/>
  <c r="D72" i="3"/>
  <c r="D70" i="3"/>
  <c r="H59" i="3"/>
  <c r="D59" i="3"/>
  <c r="D58" i="3"/>
  <c r="H57" i="3"/>
  <c r="D57" i="3"/>
  <c r="D56" i="3"/>
  <c r="H55" i="3"/>
  <c r="D55" i="3"/>
  <c r="D54" i="3"/>
  <c r="H53" i="3"/>
  <c r="D53" i="3"/>
  <c r="D52" i="3"/>
  <c r="H51" i="3"/>
  <c r="D51" i="3"/>
  <c r="D50" i="3"/>
  <c r="H49" i="3"/>
  <c r="D49" i="3"/>
  <c r="D48" i="3"/>
  <c r="H47" i="3"/>
  <c r="D47" i="3"/>
  <c r="D46" i="3"/>
  <c r="H45" i="3"/>
  <c r="D45" i="3"/>
  <c r="C41" i="3"/>
  <c r="L101" i="3" s="1"/>
  <c r="B33" i="3"/>
  <c r="F27" i="3"/>
  <c r="E27" i="3"/>
  <c r="F26" i="3"/>
  <c r="E26" i="3"/>
  <c r="F13" i="3"/>
  <c r="E13" i="3"/>
  <c r="F12" i="3"/>
  <c r="E12" i="3"/>
  <c r="G11" i="3"/>
  <c r="H11" i="3" s="1"/>
  <c r="F11" i="3"/>
  <c r="E11" i="3"/>
  <c r="G10" i="3"/>
  <c r="H10" i="3" s="1"/>
  <c r="F10" i="3"/>
  <c r="E10" i="3"/>
  <c r="G9" i="3"/>
  <c r="H9" i="3" s="1"/>
  <c r="F9" i="3"/>
  <c r="E9" i="3"/>
  <c r="F8" i="3"/>
  <c r="E8" i="3"/>
  <c r="F7" i="3"/>
  <c r="E7" i="3"/>
  <c r="F6" i="3"/>
  <c r="E6" i="3"/>
  <c r="F5" i="3"/>
  <c r="E5" i="3"/>
  <c r="C120" i="3" l="1"/>
  <c r="H46" i="3"/>
  <c r="H48" i="3"/>
  <c r="H50" i="3"/>
  <c r="H52" i="3"/>
  <c r="H54" i="3"/>
  <c r="H56" i="3"/>
  <c r="H58" i="3"/>
  <c r="L70" i="3"/>
  <c r="L74" i="3"/>
  <c r="D94" i="3"/>
  <c r="D102" i="3"/>
  <c r="P62" i="3"/>
  <c r="P61" i="3" s="1"/>
  <c r="P64" i="3" s="1"/>
  <c r="D82" i="3"/>
  <c r="D81" i="3" s="1"/>
  <c r="D84" i="3" s="1"/>
  <c r="D83" i="3" s="1"/>
  <c r="D62" i="3"/>
  <c r="D61" i="3" s="1"/>
  <c r="D64" i="3" s="1"/>
  <c r="D63" i="3" s="1"/>
  <c r="D106" i="3"/>
  <c r="D105" i="3" s="1"/>
  <c r="D108" i="3" s="1"/>
  <c r="D107" i="3" s="1"/>
  <c r="K62" i="3"/>
  <c r="K61" i="3" s="1"/>
  <c r="H62" i="3"/>
  <c r="H61" i="3" s="1"/>
  <c r="L76" i="3"/>
  <c r="L78" i="3"/>
  <c r="K82" i="3"/>
  <c r="K81" i="3" s="1"/>
  <c r="K84" i="3" s="1"/>
  <c r="K83" i="3" s="1"/>
  <c r="L92" i="3"/>
  <c r="L94" i="3"/>
  <c r="L96" i="3"/>
  <c r="L98" i="3"/>
  <c r="L100" i="3"/>
  <c r="L102" i="3"/>
  <c r="K106" i="3"/>
  <c r="K105" i="3" s="1"/>
  <c r="K108" i="3" s="1"/>
  <c r="D36" i="3"/>
  <c r="L45" i="3"/>
  <c r="L46" i="3"/>
  <c r="L47" i="3"/>
  <c r="L48" i="3"/>
  <c r="L49" i="3"/>
  <c r="L50" i="3"/>
  <c r="L51" i="3"/>
  <c r="L52" i="3"/>
  <c r="L53" i="3"/>
  <c r="L54" i="3"/>
  <c r="L55" i="3"/>
  <c r="L56" i="3"/>
  <c r="L57" i="3"/>
  <c r="L58" i="3"/>
  <c r="L59" i="3"/>
  <c r="D71" i="3"/>
  <c r="D73" i="3"/>
  <c r="D75" i="3"/>
  <c r="D77" i="3"/>
  <c r="D91" i="3"/>
  <c r="D93" i="3"/>
  <c r="D95" i="3"/>
  <c r="D97" i="3"/>
  <c r="D99" i="3"/>
  <c r="D101" i="3"/>
  <c r="P45" i="3"/>
  <c r="P46" i="3"/>
  <c r="P47" i="3"/>
  <c r="P48" i="3"/>
  <c r="P49" i="3"/>
  <c r="P50" i="3"/>
  <c r="P51" i="3"/>
  <c r="P52" i="3"/>
  <c r="P53" i="3"/>
  <c r="P54" i="3"/>
  <c r="P55" i="3"/>
  <c r="P56" i="3"/>
  <c r="P57" i="3"/>
  <c r="P58" i="3"/>
  <c r="P59" i="3"/>
  <c r="L71" i="3"/>
  <c r="L73" i="3"/>
  <c r="L75" i="3"/>
  <c r="L77" i="3"/>
  <c r="L91" i="3"/>
  <c r="L93" i="3"/>
  <c r="L95" i="3"/>
  <c r="L97" i="3"/>
  <c r="L99" i="3"/>
  <c r="P113" i="3" l="1"/>
  <c r="D113" i="3"/>
  <c r="D114" i="3" s="1"/>
  <c r="D115" i="3" s="1"/>
  <c r="K64" i="3"/>
  <c r="K113" i="3"/>
  <c r="H113" i="3"/>
  <c r="H64" i="3"/>
  <c r="H63" i="3" s="1"/>
  <c r="P119" i="3"/>
  <c r="P117" i="3"/>
  <c r="P118" i="3"/>
  <c r="P63" i="3" s="1"/>
  <c r="K114" i="3" l="1"/>
  <c r="K117" i="3" s="1"/>
  <c r="K107" i="3" s="1"/>
  <c r="D19" i="3"/>
  <c r="D30" i="3" s="1"/>
  <c r="K119" i="3" l="1"/>
  <c r="K118" i="3"/>
  <c r="K63" i="3" s="1"/>
  <c r="K115" i="3"/>
  <c r="D22" i="3" s="1"/>
  <c r="E19" i="3"/>
  <c r="E30" i="3" s="1"/>
  <c r="D20" i="3"/>
  <c r="E20" i="3" l="1"/>
  <c r="E31" i="3" s="1"/>
  <c r="D31" i="3"/>
  <c r="D148" i="3" l="1"/>
  <c r="D150" i="3"/>
</calcChain>
</file>

<file path=xl/sharedStrings.xml><?xml version="1.0" encoding="utf-8"?>
<sst xmlns="http://schemas.openxmlformats.org/spreadsheetml/2006/main" count="302" uniqueCount="162">
  <si>
    <t>Acenocoumarol</t>
  </si>
  <si>
    <t>CYP2C9 genotype</t>
  </si>
  <si>
    <t>VKORC1 genotype</t>
  </si>
  <si>
    <t>Lengte</t>
  </si>
  <si>
    <t>*1/*1</t>
  </si>
  <si>
    <t>*1/*2</t>
  </si>
  <si>
    <t>*1/*3</t>
  </si>
  <si>
    <t>*2/*2</t>
  </si>
  <si>
    <t>*2/*3</t>
  </si>
  <si>
    <t>*3/*3</t>
  </si>
  <si>
    <t>Fenprocoumon</t>
  </si>
  <si>
    <t>EU-PACT Dose calculator</t>
  </si>
  <si>
    <t>Variable</t>
  </si>
  <si>
    <t>Value</t>
  </si>
  <si>
    <t>Validation Result</t>
  </si>
  <si>
    <t>Error message/ Warnings</t>
  </si>
  <si>
    <t>Coumarin derivative</t>
  </si>
  <si>
    <t xml:space="preserve"> </t>
  </si>
  <si>
    <t>Dosing algorithm</t>
  </si>
  <si>
    <t>Trucating lowest boundery</t>
  </si>
  <si>
    <t>truncating highest boundery</t>
  </si>
  <si>
    <t xml:space="preserve">Age </t>
  </si>
  <si>
    <t>in years</t>
  </si>
  <si>
    <t>Height</t>
  </si>
  <si>
    <t>in cm</t>
  </si>
  <si>
    <t>Weight</t>
  </si>
  <si>
    <t>in kg</t>
  </si>
  <si>
    <t>Sex</t>
  </si>
  <si>
    <t>Amiodaron use</t>
  </si>
  <si>
    <t>Estimation of the maintenance dose before start of the therapy</t>
  </si>
  <si>
    <t>per week</t>
  </si>
  <si>
    <t>per day</t>
  </si>
  <si>
    <t>Computed average dose in mg:</t>
  </si>
  <si>
    <t>Computed average dose in tablets*:                (PHE: 1 tablet =3mg, ACE: 1 tablet =1mg):</t>
  </si>
  <si>
    <t xml:space="preserve">* For the calculation of the "Computed average dose in tablets" we assumed that 1 tablet of PHE is 3 mg and 1 tablet of ACE is 1 mg. </t>
  </si>
  <si>
    <t>Proposed loading dose in mg:</t>
  </si>
  <si>
    <t>Estimation of the maintenance dose after the first INR measurement (day 3, 4, or 5)</t>
  </si>
  <si>
    <t>First INR measured on day:</t>
  </si>
  <si>
    <t xml:space="preserve">INR: </t>
  </si>
  <si>
    <t>INR adjusted average dose in mg:</t>
  </si>
  <si>
    <t>INR adjusted average dose in tablets*:                (PHE: 1 tablet =3mg, ACE: 1 tablet =1mg):</t>
  </si>
  <si>
    <r>
      <t xml:space="preserve">Proposed </t>
    </r>
    <r>
      <rPr>
        <b/>
        <sz val="10"/>
        <rFont val="Verdana"/>
        <family val="2"/>
      </rPr>
      <t>extended</t>
    </r>
    <r>
      <rPr>
        <sz val="10"/>
        <rFont val="Verdana"/>
        <family val="2"/>
      </rPr>
      <t xml:space="preserve"> loading dose in mg**:</t>
    </r>
  </si>
  <si>
    <t>** Only for phenprocoumon</t>
  </si>
  <si>
    <r>
      <t xml:space="preserve">Disclamer: </t>
    </r>
    <r>
      <rPr>
        <sz val="10"/>
        <color indexed="9"/>
        <rFont val="Verdana"/>
        <family val="2"/>
      </rPr>
      <t xml:space="preserve">This page is not intended to substitute for care by a licensed healthcare professional. It is developed by researchers of the EU-PACT study group in a retrospective collected dataset. Neither the Principal Investigator,  the Workpackage leader, the investigators, or the sponsor of the EU-PACT trial are responsible for loss or damages arising from use of this information.
Written authorization is required for commercial use of this page. </t>
    </r>
  </si>
  <si>
    <t>Wortel(1,07):</t>
  </si>
  <si>
    <t>ALGORITMES met genotypes</t>
  </si>
  <si>
    <t>PHE Geno</t>
  </si>
  <si>
    <t>PHE Geno adjusted target range</t>
  </si>
  <si>
    <t>PHE Clinical</t>
  </si>
  <si>
    <t>PHE Clinical ajusted target range</t>
  </si>
  <si>
    <t>ACE Geno</t>
  </si>
  <si>
    <t>ACE geno adjusted target range</t>
  </si>
  <si>
    <t>ACE Clinical</t>
  </si>
  <si>
    <t>ACE Clinical adjusted target range</t>
  </si>
  <si>
    <t>Intercept</t>
  </si>
  <si>
    <t>[genocat=    2.00]</t>
  </si>
  <si>
    <t>[genocat=    3.00]</t>
  </si>
  <si>
    <t>[genocat=    4.00]</t>
  </si>
  <si>
    <t>[genocat=    5.00]</t>
  </si>
  <si>
    <t>[genocat=    6.00]</t>
  </si>
  <si>
    <t>[genocat=  100.00]</t>
  </si>
  <si>
    <t>[vkorcat=    2.00]</t>
  </si>
  <si>
    <t>[vkorcat=    3.00]</t>
  </si>
  <si>
    <t>[vkorcat=  100.00]</t>
  </si>
  <si>
    <t>leeftijd</t>
  </si>
  <si>
    <t>sex</t>
  </si>
  <si>
    <t>gewicht</t>
  </si>
  <si>
    <t>Amiodaron use yes</t>
  </si>
  <si>
    <t>Dose PHE Gen/week:</t>
  </si>
  <si>
    <t>mg/week</t>
  </si>
  <si>
    <t>Dose PHE Clin:</t>
  </si>
  <si>
    <t>Dose ACE geno:</t>
  </si>
  <si>
    <t>Dose ACE Clinical:</t>
  </si>
  <si>
    <t>Error Count:</t>
  </si>
  <si>
    <t>Loading Dose:</t>
  </si>
  <si>
    <t>Dose PHE Gen/day:</t>
  </si>
  <si>
    <t>mg/day</t>
  </si>
  <si>
    <t xml:space="preserve">Dose PHE Clin/day: </t>
  </si>
  <si>
    <t xml:space="preserve">Dose ACE geno/day: </t>
  </si>
  <si>
    <t>Dose ACE Clin/day:</t>
  </si>
  <si>
    <t>ALGORITMES zonder CYP2C9 genotype</t>
  </si>
  <si>
    <t>ALGORITMES zonder VKORC1 genotype</t>
  </si>
  <si>
    <t>TE GEBRUIKEN ALGORITME</t>
  </si>
  <si>
    <t>PHE GENO</t>
  </si>
  <si>
    <t>PHE KLINISCH</t>
  </si>
  <si>
    <t>ACE GENO</t>
  </si>
  <si>
    <t>ACE KLINISCH</t>
  </si>
  <si>
    <t>weekdose</t>
  </si>
  <si>
    <t>dagdose</t>
  </si>
  <si>
    <t>daydose</t>
  </si>
  <si>
    <t>Loadingdose</t>
  </si>
  <si>
    <t>Opdelen van de loading</t>
  </si>
  <si>
    <t>BEPALEN WELKE DOSERING GETOOND MOET WORDEN</t>
  </si>
  <si>
    <t>ERROR COUNT:</t>
  </si>
  <si>
    <t>Waarde D5</t>
  </si>
  <si>
    <t>Waarde D6</t>
  </si>
  <si>
    <t>DOSE REVISION PHE</t>
  </si>
  <si>
    <t>INR meting op dag 3</t>
  </si>
  <si>
    <t>INR meting op dag 4</t>
  </si>
  <si>
    <t>INR meting op dag 5</t>
  </si>
  <si>
    <t>Genotype-guided correctie factor</t>
  </si>
  <si>
    <t>Non-genotype-guided correctie factor</t>
  </si>
  <si>
    <t xml:space="preserve">Correctie factor overall: </t>
  </si>
  <si>
    <t>DOSE REVISION ACE</t>
  </si>
  <si>
    <t>INR meting op dag 3, 4 of 5</t>
  </si>
  <si>
    <t>Correctiefactor overall:</t>
  </si>
  <si>
    <t>Extended Loading PHE</t>
  </si>
  <si>
    <t>6-3- INR based MD</t>
  </si>
  <si>
    <t>6-6- INR based MD</t>
  </si>
  <si>
    <t>6- INR based MD</t>
  </si>
  <si>
    <t>0 - 1,04</t>
  </si>
  <si>
    <t>1,04 - 1,31</t>
  </si>
  <si>
    <t>1,31 - 1,61</t>
  </si>
  <si>
    <t>1,61 - 1,85</t>
  </si>
  <si>
    <t>1,85 - 2,92</t>
  </si>
  <si>
    <t>2,92 - 999</t>
  </si>
  <si>
    <t>0 - 1,00</t>
  </si>
  <si>
    <t>1,00 - 1,25</t>
  </si>
  <si>
    <t>1,25 - 1,75</t>
  </si>
  <si>
    <t>1,75 - 2,00</t>
  </si>
  <si>
    <t>2,00 - 2,25</t>
  </si>
  <si>
    <t>2,25 - 2,75</t>
  </si>
  <si>
    <t>2,75 - 3,00</t>
  </si>
  <si>
    <t>3,00 - 3,25</t>
  </si>
  <si>
    <t>3,25 - 3,75</t>
  </si>
  <si>
    <t>3,75 - 4,00</t>
  </si>
  <si>
    <t>4,00 - 4,25</t>
  </si>
  <si>
    <t>4,25 - 4,75</t>
  </si>
  <si>
    <t>4,75 - 5,00</t>
  </si>
  <si>
    <t>2 algorithms for the maintenance dose: 1 for acenocoumarol and 1 for phenprocoumon</t>
  </si>
  <si>
    <t>Options</t>
  </si>
  <si>
    <t>Factor</t>
  </si>
  <si>
    <t>Age (in years)</t>
  </si>
  <si>
    <t>Height (in cm)</t>
  </si>
  <si>
    <t>Weight (in kg)</t>
  </si>
  <si>
    <t>male</t>
  </si>
  <si>
    <t>female</t>
  </si>
  <si>
    <t>no</t>
  </si>
  <si>
    <t>yes</t>
  </si>
  <si>
    <t>(multiply with age)</t>
  </si>
  <si>
    <t>(multiply with height)</t>
  </si>
  <si>
    <t>(multiply with weight)</t>
  </si>
  <si>
    <t xml:space="preserve">√ dose = 4.117 + factor CYP2C9 genotype + factor VKORC1 genotype + (age*factor) + sex + (height*factor) + (weight*factor) + amiodaron </t>
  </si>
  <si>
    <t xml:space="preserve">√ dose = 2.874 + factor CYP2C9 genotype + factor VKORC1 genotype + (age*factor) + sex+ (height*factor) + (weight*factor) + amiodaron  </t>
  </si>
  <si>
    <t>Calculated maintenance dose (mg)</t>
  </si>
  <si>
    <t>Dose day 1 (mg)</t>
  </si>
  <si>
    <t>Dose day 2 (mg)</t>
  </si>
  <si>
    <t>Dose day 3 (mg)</t>
  </si>
  <si>
    <t>Phenprocoumon</t>
  </si>
  <si>
    <t>Background information on the EU-PACT-algorithm:</t>
  </si>
  <si>
    <t>The EU-PACT-algorithm combines genetic and other clinical characteristics of the patient.</t>
  </si>
  <si>
    <t>It is designed for use in European adults, i.e. in (predominantly) Caucasian adults.</t>
  </si>
  <si>
    <t>The suitability of the algorithm for patients with another ethnicity or for children is not determined.</t>
  </si>
  <si>
    <t>The algorithm contains only the most prevalent CYP2C9 alleles *2 and *3.</t>
  </si>
  <si>
    <t>For this reason, it is not suited for use in Caucasian patients with another allele leading to diminished CYP2C9 activity.</t>
  </si>
  <si>
    <t xml:space="preserve">The initiation dose is divided over 3 days to minimize the risk of of the INR overshooting the target therapeutic range. </t>
  </si>
  <si>
    <t>Simulations show that the calculated initiation dose diminishes the time to a stable, therapeutic INR for patients with variant CYP2C9 alleles.</t>
  </si>
  <si>
    <t>The VKORC1 1173T allele corresponds with the VKORC1 -1639A allele.</t>
  </si>
  <si>
    <t>1173CC or -1639GG</t>
  </si>
  <si>
    <t>1173CT or -1639GA</t>
  </si>
  <si>
    <t>1173TT or -1639AA</t>
  </si>
  <si>
    <t>Intervention 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</si>
</sst>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7" x14ac:knownFonts="1">
    <font>
      <sz val="11"/>
      <color theme="1"/>
      <name val="Calibri"/>
      <family val="2"/>
      <scheme val="minor"/>
    </font>
    <font>
      <b/>
      <sz val="11"/>
      <color theme="1"/>
      <name val="Calibri"/>
      <family val="2"/>
      <scheme val="minor"/>
    </font>
    <font>
      <sz val="10"/>
      <name val="Arial"/>
      <family val="2"/>
    </font>
    <font>
      <sz val="10"/>
      <color indexed="9"/>
      <name val="Verdana"/>
      <family val="2"/>
    </font>
    <font>
      <sz val="10"/>
      <name val="Verdana"/>
      <family val="2"/>
    </font>
    <font>
      <b/>
      <sz val="30"/>
      <color indexed="9"/>
      <name val="Verdana"/>
      <family val="2"/>
    </font>
    <font>
      <b/>
      <sz val="10"/>
      <name val="Verdana"/>
      <family val="2"/>
    </font>
    <font>
      <sz val="10"/>
      <color indexed="10"/>
      <name val="Verdana"/>
      <family val="2"/>
    </font>
    <font>
      <u/>
      <sz val="14"/>
      <name val="Verdana"/>
      <family val="2"/>
    </font>
    <font>
      <u/>
      <sz val="10"/>
      <name val="Verdana"/>
      <family val="2"/>
    </font>
    <font>
      <sz val="14"/>
      <name val="Verdana"/>
      <family val="2"/>
    </font>
    <font>
      <b/>
      <sz val="14"/>
      <name val="Verdana"/>
      <family val="2"/>
    </font>
    <font>
      <b/>
      <sz val="10"/>
      <color indexed="9"/>
      <name val="Verdana"/>
      <family val="2"/>
    </font>
    <font>
      <b/>
      <u/>
      <sz val="10"/>
      <color indexed="10"/>
      <name val="Verdana"/>
      <family val="2"/>
    </font>
    <font>
      <sz val="12"/>
      <color indexed="10"/>
      <name val="Verdana"/>
      <family val="2"/>
    </font>
    <font>
      <sz val="9"/>
      <color indexed="10"/>
      <name val="Verdana"/>
      <family val="2"/>
    </font>
    <font>
      <sz val="8"/>
      <color indexed="10"/>
      <name val="Verdana"/>
      <family val="2"/>
    </font>
  </fonts>
  <fills count="5">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2">
    <xf numFmtId="0" fontId="0" fillId="0" borderId="0"/>
    <xf numFmtId="0" fontId="2" fillId="0" borderId="0"/>
  </cellStyleXfs>
  <cellXfs count="70">
    <xf numFmtId="0" fontId="0" fillId="0" borderId="0" xfId="0"/>
    <xf numFmtId="0" fontId="1" fillId="0" borderId="0" xfId="0" applyFont="1"/>
    <xf numFmtId="0" fontId="3" fillId="2" borderId="0" xfId="1" applyFont="1" applyFill="1" applyProtection="1"/>
    <xf numFmtId="0" fontId="4" fillId="2" borderId="0" xfId="1" applyFont="1" applyFill="1" applyProtection="1"/>
    <xf numFmtId="0" fontId="5" fillId="2" borderId="0" xfId="1" applyFont="1" applyFill="1" applyProtection="1"/>
    <xf numFmtId="0" fontId="4" fillId="2" borderId="0" xfId="1" applyFont="1" applyFill="1" applyBorder="1" applyProtection="1"/>
    <xf numFmtId="0" fontId="6" fillId="0" borderId="1" xfId="1" applyFont="1" applyBorder="1" applyProtection="1"/>
    <xf numFmtId="0" fontId="6" fillId="0" borderId="1" xfId="1" applyFont="1" applyFill="1" applyBorder="1" applyProtection="1"/>
    <xf numFmtId="0" fontId="4" fillId="0" borderId="1" xfId="1" applyFont="1" applyBorder="1" applyProtection="1"/>
    <xf numFmtId="0" fontId="4" fillId="3" borderId="1" xfId="1" applyFont="1" applyFill="1" applyBorder="1" applyProtection="1">
      <protection locked="0"/>
    </xf>
    <xf numFmtId="0" fontId="4" fillId="0" borderId="1" xfId="1" applyFont="1" applyFill="1" applyBorder="1" applyAlignment="1" applyProtection="1">
      <alignment wrapText="1"/>
    </xf>
    <xf numFmtId="0" fontId="4" fillId="3" borderId="1" xfId="1" applyFont="1" applyFill="1" applyBorder="1" applyAlignment="1" applyProtection="1">
      <alignment horizontal="center"/>
      <protection locked="0"/>
    </xf>
    <xf numFmtId="0" fontId="4" fillId="0" borderId="1" xfId="1" applyFont="1" applyFill="1" applyBorder="1" applyProtection="1"/>
    <xf numFmtId="0" fontId="7" fillId="2" borderId="0" xfId="1" applyFont="1" applyFill="1" applyProtection="1"/>
    <xf numFmtId="0" fontId="8" fillId="2" borderId="0" xfId="1" applyFont="1" applyFill="1" applyProtection="1"/>
    <xf numFmtId="0" fontId="9" fillId="2" borderId="0" xfId="1" applyFont="1" applyFill="1" applyProtection="1"/>
    <xf numFmtId="0" fontId="7" fillId="2" borderId="0" xfId="1" applyFont="1" applyFill="1" applyBorder="1" applyProtection="1"/>
    <xf numFmtId="0" fontId="10" fillId="2" borderId="0" xfId="1" applyFont="1" applyFill="1" applyProtection="1"/>
    <xf numFmtId="0" fontId="6" fillId="0" borderId="1" xfId="1" applyFont="1" applyFill="1" applyBorder="1" applyAlignment="1" applyProtection="1">
      <alignment horizontal="center"/>
    </xf>
    <xf numFmtId="0" fontId="4" fillId="0" borderId="2" xfId="1" applyFont="1" applyFill="1" applyBorder="1" applyProtection="1"/>
    <xf numFmtId="2" fontId="4" fillId="0" borderId="1" xfId="1" applyNumberFormat="1" applyFont="1" applyFill="1" applyBorder="1" applyAlignment="1" applyProtection="1">
      <alignment horizontal="center"/>
    </xf>
    <xf numFmtId="0" fontId="3" fillId="2" borderId="0" xfId="1" applyFont="1" applyFill="1" applyAlignment="1" applyProtection="1">
      <alignment wrapText="1"/>
    </xf>
    <xf numFmtId="0" fontId="4" fillId="0" borderId="3" xfId="1" applyFont="1" applyFill="1" applyBorder="1" applyProtection="1"/>
    <xf numFmtId="0" fontId="4" fillId="0" borderId="4" xfId="1" applyFont="1" applyFill="1" applyBorder="1" applyProtection="1"/>
    <xf numFmtId="0" fontId="4" fillId="0" borderId="4" xfId="1" applyFont="1" applyFill="1" applyBorder="1" applyAlignment="1" applyProtection="1">
      <alignment horizontal="center"/>
    </xf>
    <xf numFmtId="0" fontId="8" fillId="2" borderId="0" xfId="1" applyFont="1" applyFill="1" applyBorder="1" applyProtection="1"/>
    <xf numFmtId="0" fontId="9" fillId="2" borderId="0" xfId="1" applyFont="1" applyFill="1" applyBorder="1" applyProtection="1"/>
    <xf numFmtId="0" fontId="10" fillId="2" borderId="0" xfId="1" applyFont="1" applyFill="1" applyBorder="1" applyProtection="1"/>
    <xf numFmtId="0" fontId="4" fillId="4" borderId="3" xfId="1" applyFont="1" applyFill="1" applyBorder="1" applyProtection="1"/>
    <xf numFmtId="0" fontId="4" fillId="4" borderId="4" xfId="1" applyFont="1" applyFill="1" applyBorder="1" applyProtection="1"/>
    <xf numFmtId="1" fontId="4" fillId="3" borderId="4" xfId="1" applyNumberFormat="1" applyFont="1" applyFill="1" applyBorder="1" applyAlignment="1" applyProtection="1">
      <alignment horizontal="center"/>
      <protection locked="0"/>
    </xf>
    <xf numFmtId="0" fontId="4" fillId="4" borderId="1" xfId="1" applyFont="1" applyFill="1" applyBorder="1" applyProtection="1"/>
    <xf numFmtId="0" fontId="4" fillId="4" borderId="1" xfId="1" applyFont="1" applyFill="1" applyBorder="1" applyAlignment="1" applyProtection="1">
      <alignment wrapText="1"/>
    </xf>
    <xf numFmtId="164" fontId="4" fillId="3" borderId="1" xfId="1" applyNumberFormat="1" applyFont="1" applyFill="1" applyBorder="1" applyAlignment="1" applyProtection="1">
      <alignment horizontal="center"/>
      <protection locked="0"/>
    </xf>
    <xf numFmtId="0" fontId="6" fillId="4" borderId="1" xfId="1" applyFont="1" applyFill="1" applyBorder="1" applyAlignment="1" applyProtection="1">
      <alignment horizontal="center"/>
    </xf>
    <xf numFmtId="0" fontId="4" fillId="4" borderId="2" xfId="1" applyFont="1" applyFill="1" applyBorder="1" applyProtection="1"/>
    <xf numFmtId="2" fontId="4" fillId="4" borderId="1" xfId="1" applyNumberFormat="1" applyFont="1" applyFill="1" applyBorder="1" applyAlignment="1" applyProtection="1">
      <alignment horizontal="center"/>
    </xf>
    <xf numFmtId="0" fontId="11" fillId="4" borderId="3" xfId="1" applyFont="1" applyFill="1" applyBorder="1" applyProtection="1"/>
    <xf numFmtId="0" fontId="11" fillId="4" borderId="2" xfId="1" applyFont="1" applyFill="1" applyBorder="1" applyProtection="1"/>
    <xf numFmtId="0" fontId="11" fillId="2" borderId="0" xfId="1" applyFont="1" applyFill="1" applyBorder="1" applyProtection="1"/>
    <xf numFmtId="0" fontId="3" fillId="2" borderId="0" xfId="1" applyFont="1" applyFill="1" applyBorder="1" applyProtection="1"/>
    <xf numFmtId="0" fontId="13" fillId="2" borderId="0" xfId="1" applyFont="1" applyFill="1" applyProtection="1"/>
    <xf numFmtId="0" fontId="7" fillId="2" borderId="5" xfId="1" applyFont="1" applyFill="1" applyBorder="1" applyProtection="1"/>
    <xf numFmtId="0" fontId="7" fillId="2" borderId="6" xfId="1" applyFont="1" applyFill="1" applyBorder="1" applyProtection="1"/>
    <xf numFmtId="0" fontId="7" fillId="2" borderId="7" xfId="1" applyFont="1" applyFill="1" applyBorder="1" applyProtection="1"/>
    <xf numFmtId="0" fontId="7" fillId="2" borderId="8" xfId="1" applyFont="1" applyFill="1" applyBorder="1" applyProtection="1"/>
    <xf numFmtId="165" fontId="7" fillId="2" borderId="0" xfId="1" applyNumberFormat="1" applyFont="1" applyFill="1" applyBorder="1" applyProtection="1"/>
    <xf numFmtId="0" fontId="7" fillId="2" borderId="0" xfId="1" applyFont="1" applyFill="1" applyBorder="1" applyAlignment="1" applyProtection="1">
      <alignment horizontal="right"/>
    </xf>
    <xf numFmtId="0" fontId="7" fillId="2" borderId="9" xfId="1" applyFont="1" applyFill="1" applyBorder="1" applyProtection="1"/>
    <xf numFmtId="3" fontId="7" fillId="2" borderId="0" xfId="1" applyNumberFormat="1" applyFont="1" applyFill="1" applyBorder="1" applyProtection="1"/>
    <xf numFmtId="165" fontId="7" fillId="2" borderId="0" xfId="1" applyNumberFormat="1" applyFont="1" applyFill="1" applyProtection="1"/>
    <xf numFmtId="2" fontId="7" fillId="2" borderId="0" xfId="1" applyNumberFormat="1" applyFont="1" applyFill="1" applyBorder="1" applyProtection="1"/>
    <xf numFmtId="0" fontId="7" fillId="2" borderId="10" xfId="1" applyFont="1" applyFill="1" applyBorder="1" applyProtection="1"/>
    <xf numFmtId="0" fontId="7" fillId="2" borderId="11" xfId="1" applyFont="1" applyFill="1" applyBorder="1" applyProtection="1"/>
    <xf numFmtId="0" fontId="7" fillId="2" borderId="11" xfId="1" applyFont="1" applyFill="1" applyBorder="1" applyAlignment="1" applyProtection="1">
      <alignment horizontal="right"/>
    </xf>
    <xf numFmtId="0" fontId="7" fillId="2" borderId="12" xfId="1" applyFont="1" applyFill="1" applyBorder="1" applyProtection="1"/>
    <xf numFmtId="0" fontId="14" fillId="2" borderId="0" xfId="1" applyFont="1" applyFill="1" applyBorder="1" applyProtection="1"/>
    <xf numFmtId="0" fontId="14" fillId="2" borderId="9" xfId="1" applyFont="1" applyFill="1" applyBorder="1" applyProtection="1"/>
    <xf numFmtId="0" fontId="14" fillId="2" borderId="11" xfId="1" applyFont="1" applyFill="1" applyBorder="1" applyProtection="1"/>
    <xf numFmtId="0" fontId="14" fillId="2" borderId="12" xfId="1" applyFont="1" applyFill="1" applyBorder="1" applyProtection="1"/>
    <xf numFmtId="0" fontId="14" fillId="2" borderId="0" xfId="1" applyFont="1" applyFill="1" applyProtection="1"/>
    <xf numFmtId="0" fontId="15" fillId="2" borderId="0" xfId="1" applyFont="1" applyFill="1" applyBorder="1" applyProtection="1"/>
    <xf numFmtId="0" fontId="15" fillId="2" borderId="8" xfId="1" applyFont="1" applyFill="1" applyBorder="1" applyProtection="1"/>
    <xf numFmtId="0" fontId="16" fillId="2" borderId="8" xfId="1" applyFont="1" applyFill="1" applyBorder="1" applyProtection="1"/>
    <xf numFmtId="0" fontId="0" fillId="0" borderId="0" xfId="0" applyFill="1"/>
    <xf numFmtId="0" fontId="0" fillId="0" borderId="0" xfId="0" applyAlignment="1"/>
    <xf numFmtId="0" fontId="0" fillId="0" borderId="0" xfId="0" applyAlignment="1">
      <alignment vertical="center"/>
    </xf>
    <xf numFmtId="0" fontId="4" fillId="0" borderId="3" xfId="1" applyFont="1" applyFill="1" applyBorder="1" applyAlignment="1" applyProtection="1">
      <alignment wrapText="1"/>
    </xf>
    <xf numFmtId="0" fontId="4" fillId="0" borderId="4" xfId="1" applyFont="1" applyBorder="1" applyAlignment="1" applyProtection="1"/>
    <xf numFmtId="0" fontId="12" fillId="2" borderId="0" xfId="1" applyFont="1" applyFill="1" applyAlignment="1" applyProtection="1">
      <alignment horizontal="left" wrapText="1"/>
    </xf>
  </cellXfs>
  <cellStyles count="2">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95250</xdr:rowOff>
    </xdr:from>
    <xdr:to>
      <xdr:col>1</xdr:col>
      <xdr:colOff>904875</xdr:colOff>
      <xdr:row>0</xdr:row>
      <xdr:rowOff>1295400</xdr:rowOff>
    </xdr:to>
    <xdr:pic>
      <xdr:nvPicPr>
        <xdr:cNvPr id="2" name="Picture 1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5250"/>
          <a:ext cx="11715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56"/>
  <sheetViews>
    <sheetView tabSelected="1" zoomScale="85" workbookViewId="0">
      <selection activeCell="D6" sqref="D6"/>
    </sheetView>
  </sheetViews>
  <sheetFormatPr defaultRowHeight="12.75" x14ac:dyDescent="0.2"/>
  <cols>
    <col min="1" max="1" width="5.28515625" style="3" customWidth="1"/>
    <col min="2" max="2" width="27.85546875" style="3" customWidth="1"/>
    <col min="3" max="3" width="17.42578125" style="3" customWidth="1"/>
    <col min="4" max="4" width="25.85546875" style="3" customWidth="1"/>
    <col min="5" max="5" width="24.140625" style="3" customWidth="1"/>
    <col min="6" max="6" width="74.140625" style="3" customWidth="1"/>
    <col min="7" max="7" width="5.42578125" style="3" customWidth="1"/>
    <col min="8" max="8" width="14.7109375" style="3" customWidth="1"/>
    <col min="9" max="9" width="24.28515625" style="3" bestFit="1" customWidth="1"/>
    <col min="10" max="10" width="19.28515625" style="3" customWidth="1"/>
    <col min="11" max="11" width="16.5703125" style="3" customWidth="1"/>
    <col min="12" max="12" width="28.85546875" style="3" customWidth="1"/>
    <col min="13" max="13" width="17" style="3" bestFit="1" customWidth="1"/>
    <col min="14" max="14" width="12.42578125" style="3" bestFit="1" customWidth="1"/>
    <col min="15" max="15" width="22" style="3" bestFit="1" customWidth="1"/>
    <col min="16" max="16" width="31.28515625" style="3" customWidth="1"/>
    <col min="17" max="256" width="9.140625" style="3"/>
    <col min="257" max="257" width="5.28515625" style="3" customWidth="1"/>
    <col min="258" max="258" width="27.85546875" style="3" customWidth="1"/>
    <col min="259" max="259" width="17.42578125" style="3" customWidth="1"/>
    <col min="260" max="260" width="25.85546875" style="3" customWidth="1"/>
    <col min="261" max="261" width="24.140625" style="3" customWidth="1"/>
    <col min="262" max="262" width="74.140625" style="3" customWidth="1"/>
    <col min="263" max="263" width="5.42578125" style="3" customWidth="1"/>
    <col min="264" max="264" width="14.7109375" style="3" customWidth="1"/>
    <col min="265" max="265" width="24.28515625" style="3" bestFit="1" customWidth="1"/>
    <col min="266" max="266" width="19.28515625" style="3" customWidth="1"/>
    <col min="267" max="267" width="16.5703125" style="3" customWidth="1"/>
    <col min="268" max="268" width="28.85546875" style="3" customWidth="1"/>
    <col min="269" max="269" width="17" style="3" bestFit="1" customWidth="1"/>
    <col min="270" max="270" width="12.42578125" style="3" bestFit="1" customWidth="1"/>
    <col min="271" max="271" width="22" style="3" bestFit="1" customWidth="1"/>
    <col min="272" max="272" width="31.28515625" style="3" customWidth="1"/>
    <col min="273" max="512" width="9.140625" style="3"/>
    <col min="513" max="513" width="5.28515625" style="3" customWidth="1"/>
    <col min="514" max="514" width="27.85546875" style="3" customWidth="1"/>
    <col min="515" max="515" width="17.42578125" style="3" customWidth="1"/>
    <col min="516" max="516" width="25.85546875" style="3" customWidth="1"/>
    <col min="517" max="517" width="24.140625" style="3" customWidth="1"/>
    <col min="518" max="518" width="74.140625" style="3" customWidth="1"/>
    <col min="519" max="519" width="5.42578125" style="3" customWidth="1"/>
    <col min="520" max="520" width="14.7109375" style="3" customWidth="1"/>
    <col min="521" max="521" width="24.28515625" style="3" bestFit="1" customWidth="1"/>
    <col min="522" max="522" width="19.28515625" style="3" customWidth="1"/>
    <col min="523" max="523" width="16.5703125" style="3" customWidth="1"/>
    <col min="524" max="524" width="28.85546875" style="3" customWidth="1"/>
    <col min="525" max="525" width="17" style="3" bestFit="1" customWidth="1"/>
    <col min="526" max="526" width="12.42578125" style="3" bestFit="1" customWidth="1"/>
    <col min="527" max="527" width="22" style="3" bestFit="1" customWidth="1"/>
    <col min="528" max="528" width="31.28515625" style="3" customWidth="1"/>
    <col min="529" max="768" width="9.140625" style="3"/>
    <col min="769" max="769" width="5.28515625" style="3" customWidth="1"/>
    <col min="770" max="770" width="27.85546875" style="3" customWidth="1"/>
    <col min="771" max="771" width="17.42578125" style="3" customWidth="1"/>
    <col min="772" max="772" width="25.85546875" style="3" customWidth="1"/>
    <col min="773" max="773" width="24.140625" style="3" customWidth="1"/>
    <col min="774" max="774" width="74.140625" style="3" customWidth="1"/>
    <col min="775" max="775" width="5.42578125" style="3" customWidth="1"/>
    <col min="776" max="776" width="14.7109375" style="3" customWidth="1"/>
    <col min="777" max="777" width="24.28515625" style="3" bestFit="1" customWidth="1"/>
    <col min="778" max="778" width="19.28515625" style="3" customWidth="1"/>
    <col min="779" max="779" width="16.5703125" style="3" customWidth="1"/>
    <col min="780" max="780" width="28.85546875" style="3" customWidth="1"/>
    <col min="781" max="781" width="17" style="3" bestFit="1" customWidth="1"/>
    <col min="782" max="782" width="12.42578125" style="3" bestFit="1" customWidth="1"/>
    <col min="783" max="783" width="22" style="3" bestFit="1" customWidth="1"/>
    <col min="784" max="784" width="31.28515625" style="3" customWidth="1"/>
    <col min="785" max="1024" width="9.140625" style="3"/>
    <col min="1025" max="1025" width="5.28515625" style="3" customWidth="1"/>
    <col min="1026" max="1026" width="27.85546875" style="3" customWidth="1"/>
    <col min="1027" max="1027" width="17.42578125" style="3" customWidth="1"/>
    <col min="1028" max="1028" width="25.85546875" style="3" customWidth="1"/>
    <col min="1029" max="1029" width="24.140625" style="3" customWidth="1"/>
    <col min="1030" max="1030" width="74.140625" style="3" customWidth="1"/>
    <col min="1031" max="1031" width="5.42578125" style="3" customWidth="1"/>
    <col min="1032" max="1032" width="14.7109375" style="3" customWidth="1"/>
    <col min="1033" max="1033" width="24.28515625" style="3" bestFit="1" customWidth="1"/>
    <col min="1034" max="1034" width="19.28515625" style="3" customWidth="1"/>
    <col min="1035" max="1035" width="16.5703125" style="3" customWidth="1"/>
    <col min="1036" max="1036" width="28.85546875" style="3" customWidth="1"/>
    <col min="1037" max="1037" width="17" style="3" bestFit="1" customWidth="1"/>
    <col min="1038" max="1038" width="12.42578125" style="3" bestFit="1" customWidth="1"/>
    <col min="1039" max="1039" width="22" style="3" bestFit="1" customWidth="1"/>
    <col min="1040" max="1040" width="31.28515625" style="3" customWidth="1"/>
    <col min="1041" max="1280" width="9.140625" style="3"/>
    <col min="1281" max="1281" width="5.28515625" style="3" customWidth="1"/>
    <col min="1282" max="1282" width="27.85546875" style="3" customWidth="1"/>
    <col min="1283" max="1283" width="17.42578125" style="3" customWidth="1"/>
    <col min="1284" max="1284" width="25.85546875" style="3" customWidth="1"/>
    <col min="1285" max="1285" width="24.140625" style="3" customWidth="1"/>
    <col min="1286" max="1286" width="74.140625" style="3" customWidth="1"/>
    <col min="1287" max="1287" width="5.42578125" style="3" customWidth="1"/>
    <col min="1288" max="1288" width="14.7109375" style="3" customWidth="1"/>
    <col min="1289" max="1289" width="24.28515625" style="3" bestFit="1" customWidth="1"/>
    <col min="1290" max="1290" width="19.28515625" style="3" customWidth="1"/>
    <col min="1291" max="1291" width="16.5703125" style="3" customWidth="1"/>
    <col min="1292" max="1292" width="28.85546875" style="3" customWidth="1"/>
    <col min="1293" max="1293" width="17" style="3" bestFit="1" customWidth="1"/>
    <col min="1294" max="1294" width="12.42578125" style="3" bestFit="1" customWidth="1"/>
    <col min="1295" max="1295" width="22" style="3" bestFit="1" customWidth="1"/>
    <col min="1296" max="1296" width="31.28515625" style="3" customWidth="1"/>
    <col min="1297" max="1536" width="9.140625" style="3"/>
    <col min="1537" max="1537" width="5.28515625" style="3" customWidth="1"/>
    <col min="1538" max="1538" width="27.85546875" style="3" customWidth="1"/>
    <col min="1539" max="1539" width="17.42578125" style="3" customWidth="1"/>
    <col min="1540" max="1540" width="25.85546875" style="3" customWidth="1"/>
    <col min="1541" max="1541" width="24.140625" style="3" customWidth="1"/>
    <col min="1542" max="1542" width="74.140625" style="3" customWidth="1"/>
    <col min="1543" max="1543" width="5.42578125" style="3" customWidth="1"/>
    <col min="1544" max="1544" width="14.7109375" style="3" customWidth="1"/>
    <col min="1545" max="1545" width="24.28515625" style="3" bestFit="1" customWidth="1"/>
    <col min="1546" max="1546" width="19.28515625" style="3" customWidth="1"/>
    <col min="1547" max="1547" width="16.5703125" style="3" customWidth="1"/>
    <col min="1548" max="1548" width="28.85546875" style="3" customWidth="1"/>
    <col min="1549" max="1549" width="17" style="3" bestFit="1" customWidth="1"/>
    <col min="1550" max="1550" width="12.42578125" style="3" bestFit="1" customWidth="1"/>
    <col min="1551" max="1551" width="22" style="3" bestFit="1" customWidth="1"/>
    <col min="1552" max="1552" width="31.28515625" style="3" customWidth="1"/>
    <col min="1553" max="1792" width="9.140625" style="3"/>
    <col min="1793" max="1793" width="5.28515625" style="3" customWidth="1"/>
    <col min="1794" max="1794" width="27.85546875" style="3" customWidth="1"/>
    <col min="1795" max="1795" width="17.42578125" style="3" customWidth="1"/>
    <col min="1796" max="1796" width="25.85546875" style="3" customWidth="1"/>
    <col min="1797" max="1797" width="24.140625" style="3" customWidth="1"/>
    <col min="1798" max="1798" width="74.140625" style="3" customWidth="1"/>
    <col min="1799" max="1799" width="5.42578125" style="3" customWidth="1"/>
    <col min="1800" max="1800" width="14.7109375" style="3" customWidth="1"/>
    <col min="1801" max="1801" width="24.28515625" style="3" bestFit="1" customWidth="1"/>
    <col min="1802" max="1802" width="19.28515625" style="3" customWidth="1"/>
    <col min="1803" max="1803" width="16.5703125" style="3" customWidth="1"/>
    <col min="1804" max="1804" width="28.85546875" style="3" customWidth="1"/>
    <col min="1805" max="1805" width="17" style="3" bestFit="1" customWidth="1"/>
    <col min="1806" max="1806" width="12.42578125" style="3" bestFit="1" customWidth="1"/>
    <col min="1807" max="1807" width="22" style="3" bestFit="1" customWidth="1"/>
    <col min="1808" max="1808" width="31.28515625" style="3" customWidth="1"/>
    <col min="1809" max="2048" width="9.140625" style="3"/>
    <col min="2049" max="2049" width="5.28515625" style="3" customWidth="1"/>
    <col min="2050" max="2050" width="27.85546875" style="3" customWidth="1"/>
    <col min="2051" max="2051" width="17.42578125" style="3" customWidth="1"/>
    <col min="2052" max="2052" width="25.85546875" style="3" customWidth="1"/>
    <col min="2053" max="2053" width="24.140625" style="3" customWidth="1"/>
    <col min="2054" max="2054" width="74.140625" style="3" customWidth="1"/>
    <col min="2055" max="2055" width="5.42578125" style="3" customWidth="1"/>
    <col min="2056" max="2056" width="14.7109375" style="3" customWidth="1"/>
    <col min="2057" max="2057" width="24.28515625" style="3" bestFit="1" customWidth="1"/>
    <col min="2058" max="2058" width="19.28515625" style="3" customWidth="1"/>
    <col min="2059" max="2059" width="16.5703125" style="3" customWidth="1"/>
    <col min="2060" max="2060" width="28.85546875" style="3" customWidth="1"/>
    <col min="2061" max="2061" width="17" style="3" bestFit="1" customWidth="1"/>
    <col min="2062" max="2062" width="12.42578125" style="3" bestFit="1" customWidth="1"/>
    <col min="2063" max="2063" width="22" style="3" bestFit="1" customWidth="1"/>
    <col min="2064" max="2064" width="31.28515625" style="3" customWidth="1"/>
    <col min="2065" max="2304" width="9.140625" style="3"/>
    <col min="2305" max="2305" width="5.28515625" style="3" customWidth="1"/>
    <col min="2306" max="2306" width="27.85546875" style="3" customWidth="1"/>
    <col min="2307" max="2307" width="17.42578125" style="3" customWidth="1"/>
    <col min="2308" max="2308" width="25.85546875" style="3" customWidth="1"/>
    <col min="2309" max="2309" width="24.140625" style="3" customWidth="1"/>
    <col min="2310" max="2310" width="74.140625" style="3" customWidth="1"/>
    <col min="2311" max="2311" width="5.42578125" style="3" customWidth="1"/>
    <col min="2312" max="2312" width="14.7109375" style="3" customWidth="1"/>
    <col min="2313" max="2313" width="24.28515625" style="3" bestFit="1" customWidth="1"/>
    <col min="2314" max="2314" width="19.28515625" style="3" customWidth="1"/>
    <col min="2315" max="2315" width="16.5703125" style="3" customWidth="1"/>
    <col min="2316" max="2316" width="28.85546875" style="3" customWidth="1"/>
    <col min="2317" max="2317" width="17" style="3" bestFit="1" customWidth="1"/>
    <col min="2318" max="2318" width="12.42578125" style="3" bestFit="1" customWidth="1"/>
    <col min="2319" max="2319" width="22" style="3" bestFit="1" customWidth="1"/>
    <col min="2320" max="2320" width="31.28515625" style="3" customWidth="1"/>
    <col min="2321" max="2560" width="9.140625" style="3"/>
    <col min="2561" max="2561" width="5.28515625" style="3" customWidth="1"/>
    <col min="2562" max="2562" width="27.85546875" style="3" customWidth="1"/>
    <col min="2563" max="2563" width="17.42578125" style="3" customWidth="1"/>
    <col min="2564" max="2564" width="25.85546875" style="3" customWidth="1"/>
    <col min="2565" max="2565" width="24.140625" style="3" customWidth="1"/>
    <col min="2566" max="2566" width="74.140625" style="3" customWidth="1"/>
    <col min="2567" max="2567" width="5.42578125" style="3" customWidth="1"/>
    <col min="2568" max="2568" width="14.7109375" style="3" customWidth="1"/>
    <col min="2569" max="2569" width="24.28515625" style="3" bestFit="1" customWidth="1"/>
    <col min="2570" max="2570" width="19.28515625" style="3" customWidth="1"/>
    <col min="2571" max="2571" width="16.5703125" style="3" customWidth="1"/>
    <col min="2572" max="2572" width="28.85546875" style="3" customWidth="1"/>
    <col min="2573" max="2573" width="17" style="3" bestFit="1" customWidth="1"/>
    <col min="2574" max="2574" width="12.42578125" style="3" bestFit="1" customWidth="1"/>
    <col min="2575" max="2575" width="22" style="3" bestFit="1" customWidth="1"/>
    <col min="2576" max="2576" width="31.28515625" style="3" customWidth="1"/>
    <col min="2577" max="2816" width="9.140625" style="3"/>
    <col min="2817" max="2817" width="5.28515625" style="3" customWidth="1"/>
    <col min="2818" max="2818" width="27.85546875" style="3" customWidth="1"/>
    <col min="2819" max="2819" width="17.42578125" style="3" customWidth="1"/>
    <col min="2820" max="2820" width="25.85546875" style="3" customWidth="1"/>
    <col min="2821" max="2821" width="24.140625" style="3" customWidth="1"/>
    <col min="2822" max="2822" width="74.140625" style="3" customWidth="1"/>
    <col min="2823" max="2823" width="5.42578125" style="3" customWidth="1"/>
    <col min="2824" max="2824" width="14.7109375" style="3" customWidth="1"/>
    <col min="2825" max="2825" width="24.28515625" style="3" bestFit="1" customWidth="1"/>
    <col min="2826" max="2826" width="19.28515625" style="3" customWidth="1"/>
    <col min="2827" max="2827" width="16.5703125" style="3" customWidth="1"/>
    <col min="2828" max="2828" width="28.85546875" style="3" customWidth="1"/>
    <col min="2829" max="2829" width="17" style="3" bestFit="1" customWidth="1"/>
    <col min="2830" max="2830" width="12.42578125" style="3" bestFit="1" customWidth="1"/>
    <col min="2831" max="2831" width="22" style="3" bestFit="1" customWidth="1"/>
    <col min="2832" max="2832" width="31.28515625" style="3" customWidth="1"/>
    <col min="2833" max="3072" width="9.140625" style="3"/>
    <col min="3073" max="3073" width="5.28515625" style="3" customWidth="1"/>
    <col min="3074" max="3074" width="27.85546875" style="3" customWidth="1"/>
    <col min="3075" max="3075" width="17.42578125" style="3" customWidth="1"/>
    <col min="3076" max="3076" width="25.85546875" style="3" customWidth="1"/>
    <col min="3077" max="3077" width="24.140625" style="3" customWidth="1"/>
    <col min="3078" max="3078" width="74.140625" style="3" customWidth="1"/>
    <col min="3079" max="3079" width="5.42578125" style="3" customWidth="1"/>
    <col min="3080" max="3080" width="14.7109375" style="3" customWidth="1"/>
    <col min="3081" max="3081" width="24.28515625" style="3" bestFit="1" customWidth="1"/>
    <col min="3082" max="3082" width="19.28515625" style="3" customWidth="1"/>
    <col min="3083" max="3083" width="16.5703125" style="3" customWidth="1"/>
    <col min="3084" max="3084" width="28.85546875" style="3" customWidth="1"/>
    <col min="3085" max="3085" width="17" style="3" bestFit="1" customWidth="1"/>
    <col min="3086" max="3086" width="12.42578125" style="3" bestFit="1" customWidth="1"/>
    <col min="3087" max="3087" width="22" style="3" bestFit="1" customWidth="1"/>
    <col min="3088" max="3088" width="31.28515625" style="3" customWidth="1"/>
    <col min="3089" max="3328" width="9.140625" style="3"/>
    <col min="3329" max="3329" width="5.28515625" style="3" customWidth="1"/>
    <col min="3330" max="3330" width="27.85546875" style="3" customWidth="1"/>
    <col min="3331" max="3331" width="17.42578125" style="3" customWidth="1"/>
    <col min="3332" max="3332" width="25.85546875" style="3" customWidth="1"/>
    <col min="3333" max="3333" width="24.140625" style="3" customWidth="1"/>
    <col min="3334" max="3334" width="74.140625" style="3" customWidth="1"/>
    <col min="3335" max="3335" width="5.42578125" style="3" customWidth="1"/>
    <col min="3336" max="3336" width="14.7109375" style="3" customWidth="1"/>
    <col min="3337" max="3337" width="24.28515625" style="3" bestFit="1" customWidth="1"/>
    <col min="3338" max="3338" width="19.28515625" style="3" customWidth="1"/>
    <col min="3339" max="3339" width="16.5703125" style="3" customWidth="1"/>
    <col min="3340" max="3340" width="28.85546875" style="3" customWidth="1"/>
    <col min="3341" max="3341" width="17" style="3" bestFit="1" customWidth="1"/>
    <col min="3342" max="3342" width="12.42578125" style="3" bestFit="1" customWidth="1"/>
    <col min="3343" max="3343" width="22" style="3" bestFit="1" customWidth="1"/>
    <col min="3344" max="3344" width="31.28515625" style="3" customWidth="1"/>
    <col min="3345" max="3584" width="9.140625" style="3"/>
    <col min="3585" max="3585" width="5.28515625" style="3" customWidth="1"/>
    <col min="3586" max="3586" width="27.85546875" style="3" customWidth="1"/>
    <col min="3587" max="3587" width="17.42578125" style="3" customWidth="1"/>
    <col min="3588" max="3588" width="25.85546875" style="3" customWidth="1"/>
    <col min="3589" max="3589" width="24.140625" style="3" customWidth="1"/>
    <col min="3590" max="3590" width="74.140625" style="3" customWidth="1"/>
    <col min="3591" max="3591" width="5.42578125" style="3" customWidth="1"/>
    <col min="3592" max="3592" width="14.7109375" style="3" customWidth="1"/>
    <col min="3593" max="3593" width="24.28515625" style="3" bestFit="1" customWidth="1"/>
    <col min="3594" max="3594" width="19.28515625" style="3" customWidth="1"/>
    <col min="3595" max="3595" width="16.5703125" style="3" customWidth="1"/>
    <col min="3596" max="3596" width="28.85546875" style="3" customWidth="1"/>
    <col min="3597" max="3597" width="17" style="3" bestFit="1" customWidth="1"/>
    <col min="3598" max="3598" width="12.42578125" style="3" bestFit="1" customWidth="1"/>
    <col min="3599" max="3599" width="22" style="3" bestFit="1" customWidth="1"/>
    <col min="3600" max="3600" width="31.28515625" style="3" customWidth="1"/>
    <col min="3601" max="3840" width="9.140625" style="3"/>
    <col min="3841" max="3841" width="5.28515625" style="3" customWidth="1"/>
    <col min="3842" max="3842" width="27.85546875" style="3" customWidth="1"/>
    <col min="3843" max="3843" width="17.42578125" style="3" customWidth="1"/>
    <col min="3844" max="3844" width="25.85546875" style="3" customWidth="1"/>
    <col min="3845" max="3845" width="24.140625" style="3" customWidth="1"/>
    <col min="3846" max="3846" width="74.140625" style="3" customWidth="1"/>
    <col min="3847" max="3847" width="5.42578125" style="3" customWidth="1"/>
    <col min="3848" max="3848" width="14.7109375" style="3" customWidth="1"/>
    <col min="3849" max="3849" width="24.28515625" style="3" bestFit="1" customWidth="1"/>
    <col min="3850" max="3850" width="19.28515625" style="3" customWidth="1"/>
    <col min="3851" max="3851" width="16.5703125" style="3" customWidth="1"/>
    <col min="3852" max="3852" width="28.85546875" style="3" customWidth="1"/>
    <col min="3853" max="3853" width="17" style="3" bestFit="1" customWidth="1"/>
    <col min="3854" max="3854" width="12.42578125" style="3" bestFit="1" customWidth="1"/>
    <col min="3855" max="3855" width="22" style="3" bestFit="1" customWidth="1"/>
    <col min="3856" max="3856" width="31.28515625" style="3" customWidth="1"/>
    <col min="3857" max="4096" width="9.140625" style="3"/>
    <col min="4097" max="4097" width="5.28515625" style="3" customWidth="1"/>
    <col min="4098" max="4098" width="27.85546875" style="3" customWidth="1"/>
    <col min="4099" max="4099" width="17.42578125" style="3" customWidth="1"/>
    <col min="4100" max="4100" width="25.85546875" style="3" customWidth="1"/>
    <col min="4101" max="4101" width="24.140625" style="3" customWidth="1"/>
    <col min="4102" max="4102" width="74.140625" style="3" customWidth="1"/>
    <col min="4103" max="4103" width="5.42578125" style="3" customWidth="1"/>
    <col min="4104" max="4104" width="14.7109375" style="3" customWidth="1"/>
    <col min="4105" max="4105" width="24.28515625" style="3" bestFit="1" customWidth="1"/>
    <col min="4106" max="4106" width="19.28515625" style="3" customWidth="1"/>
    <col min="4107" max="4107" width="16.5703125" style="3" customWidth="1"/>
    <col min="4108" max="4108" width="28.85546875" style="3" customWidth="1"/>
    <col min="4109" max="4109" width="17" style="3" bestFit="1" customWidth="1"/>
    <col min="4110" max="4110" width="12.42578125" style="3" bestFit="1" customWidth="1"/>
    <col min="4111" max="4111" width="22" style="3" bestFit="1" customWidth="1"/>
    <col min="4112" max="4112" width="31.28515625" style="3" customWidth="1"/>
    <col min="4113" max="4352" width="9.140625" style="3"/>
    <col min="4353" max="4353" width="5.28515625" style="3" customWidth="1"/>
    <col min="4354" max="4354" width="27.85546875" style="3" customWidth="1"/>
    <col min="4355" max="4355" width="17.42578125" style="3" customWidth="1"/>
    <col min="4356" max="4356" width="25.85546875" style="3" customWidth="1"/>
    <col min="4357" max="4357" width="24.140625" style="3" customWidth="1"/>
    <col min="4358" max="4358" width="74.140625" style="3" customWidth="1"/>
    <col min="4359" max="4359" width="5.42578125" style="3" customWidth="1"/>
    <col min="4360" max="4360" width="14.7109375" style="3" customWidth="1"/>
    <col min="4361" max="4361" width="24.28515625" style="3" bestFit="1" customWidth="1"/>
    <col min="4362" max="4362" width="19.28515625" style="3" customWidth="1"/>
    <col min="4363" max="4363" width="16.5703125" style="3" customWidth="1"/>
    <col min="4364" max="4364" width="28.85546875" style="3" customWidth="1"/>
    <col min="4365" max="4365" width="17" style="3" bestFit="1" customWidth="1"/>
    <col min="4366" max="4366" width="12.42578125" style="3" bestFit="1" customWidth="1"/>
    <col min="4367" max="4367" width="22" style="3" bestFit="1" customWidth="1"/>
    <col min="4368" max="4368" width="31.28515625" style="3" customWidth="1"/>
    <col min="4369" max="4608" width="9.140625" style="3"/>
    <col min="4609" max="4609" width="5.28515625" style="3" customWidth="1"/>
    <col min="4610" max="4610" width="27.85546875" style="3" customWidth="1"/>
    <col min="4611" max="4611" width="17.42578125" style="3" customWidth="1"/>
    <col min="4612" max="4612" width="25.85546875" style="3" customWidth="1"/>
    <col min="4613" max="4613" width="24.140625" style="3" customWidth="1"/>
    <col min="4614" max="4614" width="74.140625" style="3" customWidth="1"/>
    <col min="4615" max="4615" width="5.42578125" style="3" customWidth="1"/>
    <col min="4616" max="4616" width="14.7109375" style="3" customWidth="1"/>
    <col min="4617" max="4617" width="24.28515625" style="3" bestFit="1" customWidth="1"/>
    <col min="4618" max="4618" width="19.28515625" style="3" customWidth="1"/>
    <col min="4619" max="4619" width="16.5703125" style="3" customWidth="1"/>
    <col min="4620" max="4620" width="28.85546875" style="3" customWidth="1"/>
    <col min="4621" max="4621" width="17" style="3" bestFit="1" customWidth="1"/>
    <col min="4622" max="4622" width="12.42578125" style="3" bestFit="1" customWidth="1"/>
    <col min="4623" max="4623" width="22" style="3" bestFit="1" customWidth="1"/>
    <col min="4624" max="4624" width="31.28515625" style="3" customWidth="1"/>
    <col min="4625" max="4864" width="9.140625" style="3"/>
    <col min="4865" max="4865" width="5.28515625" style="3" customWidth="1"/>
    <col min="4866" max="4866" width="27.85546875" style="3" customWidth="1"/>
    <col min="4867" max="4867" width="17.42578125" style="3" customWidth="1"/>
    <col min="4868" max="4868" width="25.85546875" style="3" customWidth="1"/>
    <col min="4869" max="4869" width="24.140625" style="3" customWidth="1"/>
    <col min="4870" max="4870" width="74.140625" style="3" customWidth="1"/>
    <col min="4871" max="4871" width="5.42578125" style="3" customWidth="1"/>
    <col min="4872" max="4872" width="14.7109375" style="3" customWidth="1"/>
    <col min="4873" max="4873" width="24.28515625" style="3" bestFit="1" customWidth="1"/>
    <col min="4874" max="4874" width="19.28515625" style="3" customWidth="1"/>
    <col min="4875" max="4875" width="16.5703125" style="3" customWidth="1"/>
    <col min="4876" max="4876" width="28.85546875" style="3" customWidth="1"/>
    <col min="4877" max="4877" width="17" style="3" bestFit="1" customWidth="1"/>
    <col min="4878" max="4878" width="12.42578125" style="3" bestFit="1" customWidth="1"/>
    <col min="4879" max="4879" width="22" style="3" bestFit="1" customWidth="1"/>
    <col min="4880" max="4880" width="31.28515625" style="3" customWidth="1"/>
    <col min="4881" max="5120" width="9.140625" style="3"/>
    <col min="5121" max="5121" width="5.28515625" style="3" customWidth="1"/>
    <col min="5122" max="5122" width="27.85546875" style="3" customWidth="1"/>
    <col min="5123" max="5123" width="17.42578125" style="3" customWidth="1"/>
    <col min="5124" max="5124" width="25.85546875" style="3" customWidth="1"/>
    <col min="5125" max="5125" width="24.140625" style="3" customWidth="1"/>
    <col min="5126" max="5126" width="74.140625" style="3" customWidth="1"/>
    <col min="5127" max="5127" width="5.42578125" style="3" customWidth="1"/>
    <col min="5128" max="5128" width="14.7109375" style="3" customWidth="1"/>
    <col min="5129" max="5129" width="24.28515625" style="3" bestFit="1" customWidth="1"/>
    <col min="5130" max="5130" width="19.28515625" style="3" customWidth="1"/>
    <col min="5131" max="5131" width="16.5703125" style="3" customWidth="1"/>
    <col min="5132" max="5132" width="28.85546875" style="3" customWidth="1"/>
    <col min="5133" max="5133" width="17" style="3" bestFit="1" customWidth="1"/>
    <col min="5134" max="5134" width="12.42578125" style="3" bestFit="1" customWidth="1"/>
    <col min="5135" max="5135" width="22" style="3" bestFit="1" customWidth="1"/>
    <col min="5136" max="5136" width="31.28515625" style="3" customWidth="1"/>
    <col min="5137" max="5376" width="9.140625" style="3"/>
    <col min="5377" max="5377" width="5.28515625" style="3" customWidth="1"/>
    <col min="5378" max="5378" width="27.85546875" style="3" customWidth="1"/>
    <col min="5379" max="5379" width="17.42578125" style="3" customWidth="1"/>
    <col min="5380" max="5380" width="25.85546875" style="3" customWidth="1"/>
    <col min="5381" max="5381" width="24.140625" style="3" customWidth="1"/>
    <col min="5382" max="5382" width="74.140625" style="3" customWidth="1"/>
    <col min="5383" max="5383" width="5.42578125" style="3" customWidth="1"/>
    <col min="5384" max="5384" width="14.7109375" style="3" customWidth="1"/>
    <col min="5385" max="5385" width="24.28515625" style="3" bestFit="1" customWidth="1"/>
    <col min="5386" max="5386" width="19.28515625" style="3" customWidth="1"/>
    <col min="5387" max="5387" width="16.5703125" style="3" customWidth="1"/>
    <col min="5388" max="5388" width="28.85546875" style="3" customWidth="1"/>
    <col min="5389" max="5389" width="17" style="3" bestFit="1" customWidth="1"/>
    <col min="5390" max="5390" width="12.42578125" style="3" bestFit="1" customWidth="1"/>
    <col min="5391" max="5391" width="22" style="3" bestFit="1" customWidth="1"/>
    <col min="5392" max="5392" width="31.28515625" style="3" customWidth="1"/>
    <col min="5393" max="5632" width="9.140625" style="3"/>
    <col min="5633" max="5633" width="5.28515625" style="3" customWidth="1"/>
    <col min="5634" max="5634" width="27.85546875" style="3" customWidth="1"/>
    <col min="5635" max="5635" width="17.42578125" style="3" customWidth="1"/>
    <col min="5636" max="5636" width="25.85546875" style="3" customWidth="1"/>
    <col min="5637" max="5637" width="24.140625" style="3" customWidth="1"/>
    <col min="5638" max="5638" width="74.140625" style="3" customWidth="1"/>
    <col min="5639" max="5639" width="5.42578125" style="3" customWidth="1"/>
    <col min="5640" max="5640" width="14.7109375" style="3" customWidth="1"/>
    <col min="5641" max="5641" width="24.28515625" style="3" bestFit="1" customWidth="1"/>
    <col min="5642" max="5642" width="19.28515625" style="3" customWidth="1"/>
    <col min="5643" max="5643" width="16.5703125" style="3" customWidth="1"/>
    <col min="5644" max="5644" width="28.85546875" style="3" customWidth="1"/>
    <col min="5645" max="5645" width="17" style="3" bestFit="1" customWidth="1"/>
    <col min="5646" max="5646" width="12.42578125" style="3" bestFit="1" customWidth="1"/>
    <col min="5647" max="5647" width="22" style="3" bestFit="1" customWidth="1"/>
    <col min="5648" max="5648" width="31.28515625" style="3" customWidth="1"/>
    <col min="5649" max="5888" width="9.140625" style="3"/>
    <col min="5889" max="5889" width="5.28515625" style="3" customWidth="1"/>
    <col min="5890" max="5890" width="27.85546875" style="3" customWidth="1"/>
    <col min="5891" max="5891" width="17.42578125" style="3" customWidth="1"/>
    <col min="5892" max="5892" width="25.85546875" style="3" customWidth="1"/>
    <col min="5893" max="5893" width="24.140625" style="3" customWidth="1"/>
    <col min="5894" max="5894" width="74.140625" style="3" customWidth="1"/>
    <col min="5895" max="5895" width="5.42578125" style="3" customWidth="1"/>
    <col min="5896" max="5896" width="14.7109375" style="3" customWidth="1"/>
    <col min="5897" max="5897" width="24.28515625" style="3" bestFit="1" customWidth="1"/>
    <col min="5898" max="5898" width="19.28515625" style="3" customWidth="1"/>
    <col min="5899" max="5899" width="16.5703125" style="3" customWidth="1"/>
    <col min="5900" max="5900" width="28.85546875" style="3" customWidth="1"/>
    <col min="5901" max="5901" width="17" style="3" bestFit="1" customWidth="1"/>
    <col min="5902" max="5902" width="12.42578125" style="3" bestFit="1" customWidth="1"/>
    <col min="5903" max="5903" width="22" style="3" bestFit="1" customWidth="1"/>
    <col min="5904" max="5904" width="31.28515625" style="3" customWidth="1"/>
    <col min="5905" max="6144" width="9.140625" style="3"/>
    <col min="6145" max="6145" width="5.28515625" style="3" customWidth="1"/>
    <col min="6146" max="6146" width="27.85546875" style="3" customWidth="1"/>
    <col min="6147" max="6147" width="17.42578125" style="3" customWidth="1"/>
    <col min="6148" max="6148" width="25.85546875" style="3" customWidth="1"/>
    <col min="6149" max="6149" width="24.140625" style="3" customWidth="1"/>
    <col min="6150" max="6150" width="74.140625" style="3" customWidth="1"/>
    <col min="6151" max="6151" width="5.42578125" style="3" customWidth="1"/>
    <col min="6152" max="6152" width="14.7109375" style="3" customWidth="1"/>
    <col min="6153" max="6153" width="24.28515625" style="3" bestFit="1" customWidth="1"/>
    <col min="6154" max="6154" width="19.28515625" style="3" customWidth="1"/>
    <col min="6155" max="6155" width="16.5703125" style="3" customWidth="1"/>
    <col min="6156" max="6156" width="28.85546875" style="3" customWidth="1"/>
    <col min="6157" max="6157" width="17" style="3" bestFit="1" customWidth="1"/>
    <col min="6158" max="6158" width="12.42578125" style="3" bestFit="1" customWidth="1"/>
    <col min="6159" max="6159" width="22" style="3" bestFit="1" customWidth="1"/>
    <col min="6160" max="6160" width="31.28515625" style="3" customWidth="1"/>
    <col min="6161" max="6400" width="9.140625" style="3"/>
    <col min="6401" max="6401" width="5.28515625" style="3" customWidth="1"/>
    <col min="6402" max="6402" width="27.85546875" style="3" customWidth="1"/>
    <col min="6403" max="6403" width="17.42578125" style="3" customWidth="1"/>
    <col min="6404" max="6404" width="25.85546875" style="3" customWidth="1"/>
    <col min="6405" max="6405" width="24.140625" style="3" customWidth="1"/>
    <col min="6406" max="6406" width="74.140625" style="3" customWidth="1"/>
    <col min="6407" max="6407" width="5.42578125" style="3" customWidth="1"/>
    <col min="6408" max="6408" width="14.7109375" style="3" customWidth="1"/>
    <col min="6409" max="6409" width="24.28515625" style="3" bestFit="1" customWidth="1"/>
    <col min="6410" max="6410" width="19.28515625" style="3" customWidth="1"/>
    <col min="6411" max="6411" width="16.5703125" style="3" customWidth="1"/>
    <col min="6412" max="6412" width="28.85546875" style="3" customWidth="1"/>
    <col min="6413" max="6413" width="17" style="3" bestFit="1" customWidth="1"/>
    <col min="6414" max="6414" width="12.42578125" style="3" bestFit="1" customWidth="1"/>
    <col min="6415" max="6415" width="22" style="3" bestFit="1" customWidth="1"/>
    <col min="6416" max="6416" width="31.28515625" style="3" customWidth="1"/>
    <col min="6417" max="6656" width="9.140625" style="3"/>
    <col min="6657" max="6657" width="5.28515625" style="3" customWidth="1"/>
    <col min="6658" max="6658" width="27.85546875" style="3" customWidth="1"/>
    <col min="6659" max="6659" width="17.42578125" style="3" customWidth="1"/>
    <col min="6660" max="6660" width="25.85546875" style="3" customWidth="1"/>
    <col min="6661" max="6661" width="24.140625" style="3" customWidth="1"/>
    <col min="6662" max="6662" width="74.140625" style="3" customWidth="1"/>
    <col min="6663" max="6663" width="5.42578125" style="3" customWidth="1"/>
    <col min="6664" max="6664" width="14.7109375" style="3" customWidth="1"/>
    <col min="6665" max="6665" width="24.28515625" style="3" bestFit="1" customWidth="1"/>
    <col min="6666" max="6666" width="19.28515625" style="3" customWidth="1"/>
    <col min="6667" max="6667" width="16.5703125" style="3" customWidth="1"/>
    <col min="6668" max="6668" width="28.85546875" style="3" customWidth="1"/>
    <col min="6669" max="6669" width="17" style="3" bestFit="1" customWidth="1"/>
    <col min="6670" max="6670" width="12.42578125" style="3" bestFit="1" customWidth="1"/>
    <col min="6671" max="6671" width="22" style="3" bestFit="1" customWidth="1"/>
    <col min="6672" max="6672" width="31.28515625" style="3" customWidth="1"/>
    <col min="6673" max="6912" width="9.140625" style="3"/>
    <col min="6913" max="6913" width="5.28515625" style="3" customWidth="1"/>
    <col min="6914" max="6914" width="27.85546875" style="3" customWidth="1"/>
    <col min="6915" max="6915" width="17.42578125" style="3" customWidth="1"/>
    <col min="6916" max="6916" width="25.85546875" style="3" customWidth="1"/>
    <col min="6917" max="6917" width="24.140625" style="3" customWidth="1"/>
    <col min="6918" max="6918" width="74.140625" style="3" customWidth="1"/>
    <col min="6919" max="6919" width="5.42578125" style="3" customWidth="1"/>
    <col min="6920" max="6920" width="14.7109375" style="3" customWidth="1"/>
    <col min="6921" max="6921" width="24.28515625" style="3" bestFit="1" customWidth="1"/>
    <col min="6922" max="6922" width="19.28515625" style="3" customWidth="1"/>
    <col min="6923" max="6923" width="16.5703125" style="3" customWidth="1"/>
    <col min="6924" max="6924" width="28.85546875" style="3" customWidth="1"/>
    <col min="6925" max="6925" width="17" style="3" bestFit="1" customWidth="1"/>
    <col min="6926" max="6926" width="12.42578125" style="3" bestFit="1" customWidth="1"/>
    <col min="6927" max="6927" width="22" style="3" bestFit="1" customWidth="1"/>
    <col min="6928" max="6928" width="31.28515625" style="3" customWidth="1"/>
    <col min="6929" max="7168" width="9.140625" style="3"/>
    <col min="7169" max="7169" width="5.28515625" style="3" customWidth="1"/>
    <col min="7170" max="7170" width="27.85546875" style="3" customWidth="1"/>
    <col min="7171" max="7171" width="17.42578125" style="3" customWidth="1"/>
    <col min="7172" max="7172" width="25.85546875" style="3" customWidth="1"/>
    <col min="7173" max="7173" width="24.140625" style="3" customWidth="1"/>
    <col min="7174" max="7174" width="74.140625" style="3" customWidth="1"/>
    <col min="7175" max="7175" width="5.42578125" style="3" customWidth="1"/>
    <col min="7176" max="7176" width="14.7109375" style="3" customWidth="1"/>
    <col min="7177" max="7177" width="24.28515625" style="3" bestFit="1" customWidth="1"/>
    <col min="7178" max="7178" width="19.28515625" style="3" customWidth="1"/>
    <col min="7179" max="7179" width="16.5703125" style="3" customWidth="1"/>
    <col min="7180" max="7180" width="28.85546875" style="3" customWidth="1"/>
    <col min="7181" max="7181" width="17" style="3" bestFit="1" customWidth="1"/>
    <col min="7182" max="7182" width="12.42578125" style="3" bestFit="1" customWidth="1"/>
    <col min="7183" max="7183" width="22" style="3" bestFit="1" customWidth="1"/>
    <col min="7184" max="7184" width="31.28515625" style="3" customWidth="1"/>
    <col min="7185" max="7424" width="9.140625" style="3"/>
    <col min="7425" max="7425" width="5.28515625" style="3" customWidth="1"/>
    <col min="7426" max="7426" width="27.85546875" style="3" customWidth="1"/>
    <col min="7427" max="7427" width="17.42578125" style="3" customWidth="1"/>
    <col min="7428" max="7428" width="25.85546875" style="3" customWidth="1"/>
    <col min="7429" max="7429" width="24.140625" style="3" customWidth="1"/>
    <col min="7430" max="7430" width="74.140625" style="3" customWidth="1"/>
    <col min="7431" max="7431" width="5.42578125" style="3" customWidth="1"/>
    <col min="7432" max="7432" width="14.7109375" style="3" customWidth="1"/>
    <col min="7433" max="7433" width="24.28515625" style="3" bestFit="1" customWidth="1"/>
    <col min="7434" max="7434" width="19.28515625" style="3" customWidth="1"/>
    <col min="7435" max="7435" width="16.5703125" style="3" customWidth="1"/>
    <col min="7436" max="7436" width="28.85546875" style="3" customWidth="1"/>
    <col min="7437" max="7437" width="17" style="3" bestFit="1" customWidth="1"/>
    <col min="7438" max="7438" width="12.42578125" style="3" bestFit="1" customWidth="1"/>
    <col min="7439" max="7439" width="22" style="3" bestFit="1" customWidth="1"/>
    <col min="7440" max="7440" width="31.28515625" style="3" customWidth="1"/>
    <col min="7441" max="7680" width="9.140625" style="3"/>
    <col min="7681" max="7681" width="5.28515625" style="3" customWidth="1"/>
    <col min="7682" max="7682" width="27.85546875" style="3" customWidth="1"/>
    <col min="7683" max="7683" width="17.42578125" style="3" customWidth="1"/>
    <col min="7684" max="7684" width="25.85546875" style="3" customWidth="1"/>
    <col min="7685" max="7685" width="24.140625" style="3" customWidth="1"/>
    <col min="7686" max="7686" width="74.140625" style="3" customWidth="1"/>
    <col min="7687" max="7687" width="5.42578125" style="3" customWidth="1"/>
    <col min="7688" max="7688" width="14.7109375" style="3" customWidth="1"/>
    <col min="7689" max="7689" width="24.28515625" style="3" bestFit="1" customWidth="1"/>
    <col min="7690" max="7690" width="19.28515625" style="3" customWidth="1"/>
    <col min="7691" max="7691" width="16.5703125" style="3" customWidth="1"/>
    <col min="7692" max="7692" width="28.85546875" style="3" customWidth="1"/>
    <col min="7693" max="7693" width="17" style="3" bestFit="1" customWidth="1"/>
    <col min="7694" max="7694" width="12.42578125" style="3" bestFit="1" customWidth="1"/>
    <col min="7695" max="7695" width="22" style="3" bestFit="1" customWidth="1"/>
    <col min="7696" max="7696" width="31.28515625" style="3" customWidth="1"/>
    <col min="7697" max="7936" width="9.140625" style="3"/>
    <col min="7937" max="7937" width="5.28515625" style="3" customWidth="1"/>
    <col min="7938" max="7938" width="27.85546875" style="3" customWidth="1"/>
    <col min="7939" max="7939" width="17.42578125" style="3" customWidth="1"/>
    <col min="7940" max="7940" width="25.85546875" style="3" customWidth="1"/>
    <col min="7941" max="7941" width="24.140625" style="3" customWidth="1"/>
    <col min="7942" max="7942" width="74.140625" style="3" customWidth="1"/>
    <col min="7943" max="7943" width="5.42578125" style="3" customWidth="1"/>
    <col min="7944" max="7944" width="14.7109375" style="3" customWidth="1"/>
    <col min="7945" max="7945" width="24.28515625" style="3" bestFit="1" customWidth="1"/>
    <col min="7946" max="7946" width="19.28515625" style="3" customWidth="1"/>
    <col min="7947" max="7947" width="16.5703125" style="3" customWidth="1"/>
    <col min="7948" max="7948" width="28.85546875" style="3" customWidth="1"/>
    <col min="7949" max="7949" width="17" style="3" bestFit="1" customWidth="1"/>
    <col min="7950" max="7950" width="12.42578125" style="3" bestFit="1" customWidth="1"/>
    <col min="7951" max="7951" width="22" style="3" bestFit="1" customWidth="1"/>
    <col min="7952" max="7952" width="31.28515625" style="3" customWidth="1"/>
    <col min="7953" max="8192" width="9.140625" style="3"/>
    <col min="8193" max="8193" width="5.28515625" style="3" customWidth="1"/>
    <col min="8194" max="8194" width="27.85546875" style="3" customWidth="1"/>
    <col min="8195" max="8195" width="17.42578125" style="3" customWidth="1"/>
    <col min="8196" max="8196" width="25.85546875" style="3" customWidth="1"/>
    <col min="8197" max="8197" width="24.140625" style="3" customWidth="1"/>
    <col min="8198" max="8198" width="74.140625" style="3" customWidth="1"/>
    <col min="8199" max="8199" width="5.42578125" style="3" customWidth="1"/>
    <col min="8200" max="8200" width="14.7109375" style="3" customWidth="1"/>
    <col min="8201" max="8201" width="24.28515625" style="3" bestFit="1" customWidth="1"/>
    <col min="8202" max="8202" width="19.28515625" style="3" customWidth="1"/>
    <col min="8203" max="8203" width="16.5703125" style="3" customWidth="1"/>
    <col min="8204" max="8204" width="28.85546875" style="3" customWidth="1"/>
    <col min="8205" max="8205" width="17" style="3" bestFit="1" customWidth="1"/>
    <col min="8206" max="8206" width="12.42578125" style="3" bestFit="1" customWidth="1"/>
    <col min="8207" max="8207" width="22" style="3" bestFit="1" customWidth="1"/>
    <col min="8208" max="8208" width="31.28515625" style="3" customWidth="1"/>
    <col min="8209" max="8448" width="9.140625" style="3"/>
    <col min="8449" max="8449" width="5.28515625" style="3" customWidth="1"/>
    <col min="8450" max="8450" width="27.85546875" style="3" customWidth="1"/>
    <col min="8451" max="8451" width="17.42578125" style="3" customWidth="1"/>
    <col min="8452" max="8452" width="25.85546875" style="3" customWidth="1"/>
    <col min="8453" max="8453" width="24.140625" style="3" customWidth="1"/>
    <col min="8454" max="8454" width="74.140625" style="3" customWidth="1"/>
    <col min="8455" max="8455" width="5.42578125" style="3" customWidth="1"/>
    <col min="8456" max="8456" width="14.7109375" style="3" customWidth="1"/>
    <col min="8457" max="8457" width="24.28515625" style="3" bestFit="1" customWidth="1"/>
    <col min="8458" max="8458" width="19.28515625" style="3" customWidth="1"/>
    <col min="8459" max="8459" width="16.5703125" style="3" customWidth="1"/>
    <col min="8460" max="8460" width="28.85546875" style="3" customWidth="1"/>
    <col min="8461" max="8461" width="17" style="3" bestFit="1" customWidth="1"/>
    <col min="8462" max="8462" width="12.42578125" style="3" bestFit="1" customWidth="1"/>
    <col min="8463" max="8463" width="22" style="3" bestFit="1" customWidth="1"/>
    <col min="8464" max="8464" width="31.28515625" style="3" customWidth="1"/>
    <col min="8465" max="8704" width="9.140625" style="3"/>
    <col min="8705" max="8705" width="5.28515625" style="3" customWidth="1"/>
    <col min="8706" max="8706" width="27.85546875" style="3" customWidth="1"/>
    <col min="8707" max="8707" width="17.42578125" style="3" customWidth="1"/>
    <col min="8708" max="8708" width="25.85546875" style="3" customWidth="1"/>
    <col min="8709" max="8709" width="24.140625" style="3" customWidth="1"/>
    <col min="8710" max="8710" width="74.140625" style="3" customWidth="1"/>
    <col min="8711" max="8711" width="5.42578125" style="3" customWidth="1"/>
    <col min="8712" max="8712" width="14.7109375" style="3" customWidth="1"/>
    <col min="8713" max="8713" width="24.28515625" style="3" bestFit="1" customWidth="1"/>
    <col min="8714" max="8714" width="19.28515625" style="3" customWidth="1"/>
    <col min="8715" max="8715" width="16.5703125" style="3" customWidth="1"/>
    <col min="8716" max="8716" width="28.85546875" style="3" customWidth="1"/>
    <col min="8717" max="8717" width="17" style="3" bestFit="1" customWidth="1"/>
    <col min="8718" max="8718" width="12.42578125" style="3" bestFit="1" customWidth="1"/>
    <col min="8719" max="8719" width="22" style="3" bestFit="1" customWidth="1"/>
    <col min="8720" max="8720" width="31.28515625" style="3" customWidth="1"/>
    <col min="8721" max="8960" width="9.140625" style="3"/>
    <col min="8961" max="8961" width="5.28515625" style="3" customWidth="1"/>
    <col min="8962" max="8962" width="27.85546875" style="3" customWidth="1"/>
    <col min="8963" max="8963" width="17.42578125" style="3" customWidth="1"/>
    <col min="8964" max="8964" width="25.85546875" style="3" customWidth="1"/>
    <col min="8965" max="8965" width="24.140625" style="3" customWidth="1"/>
    <col min="8966" max="8966" width="74.140625" style="3" customWidth="1"/>
    <col min="8967" max="8967" width="5.42578125" style="3" customWidth="1"/>
    <col min="8968" max="8968" width="14.7109375" style="3" customWidth="1"/>
    <col min="8969" max="8969" width="24.28515625" style="3" bestFit="1" customWidth="1"/>
    <col min="8970" max="8970" width="19.28515625" style="3" customWidth="1"/>
    <col min="8971" max="8971" width="16.5703125" style="3" customWidth="1"/>
    <col min="8972" max="8972" width="28.85546875" style="3" customWidth="1"/>
    <col min="8973" max="8973" width="17" style="3" bestFit="1" customWidth="1"/>
    <col min="8974" max="8974" width="12.42578125" style="3" bestFit="1" customWidth="1"/>
    <col min="8975" max="8975" width="22" style="3" bestFit="1" customWidth="1"/>
    <col min="8976" max="8976" width="31.28515625" style="3" customWidth="1"/>
    <col min="8977" max="9216" width="9.140625" style="3"/>
    <col min="9217" max="9217" width="5.28515625" style="3" customWidth="1"/>
    <col min="9218" max="9218" width="27.85546875" style="3" customWidth="1"/>
    <col min="9219" max="9219" width="17.42578125" style="3" customWidth="1"/>
    <col min="9220" max="9220" width="25.85546875" style="3" customWidth="1"/>
    <col min="9221" max="9221" width="24.140625" style="3" customWidth="1"/>
    <col min="9222" max="9222" width="74.140625" style="3" customWidth="1"/>
    <col min="9223" max="9223" width="5.42578125" style="3" customWidth="1"/>
    <col min="9224" max="9224" width="14.7109375" style="3" customWidth="1"/>
    <col min="9225" max="9225" width="24.28515625" style="3" bestFit="1" customWidth="1"/>
    <col min="9226" max="9226" width="19.28515625" style="3" customWidth="1"/>
    <col min="9227" max="9227" width="16.5703125" style="3" customWidth="1"/>
    <col min="9228" max="9228" width="28.85546875" style="3" customWidth="1"/>
    <col min="9229" max="9229" width="17" style="3" bestFit="1" customWidth="1"/>
    <col min="9230" max="9230" width="12.42578125" style="3" bestFit="1" customWidth="1"/>
    <col min="9231" max="9231" width="22" style="3" bestFit="1" customWidth="1"/>
    <col min="9232" max="9232" width="31.28515625" style="3" customWidth="1"/>
    <col min="9233" max="9472" width="9.140625" style="3"/>
    <col min="9473" max="9473" width="5.28515625" style="3" customWidth="1"/>
    <col min="9474" max="9474" width="27.85546875" style="3" customWidth="1"/>
    <col min="9475" max="9475" width="17.42578125" style="3" customWidth="1"/>
    <col min="9476" max="9476" width="25.85546875" style="3" customWidth="1"/>
    <col min="9477" max="9477" width="24.140625" style="3" customWidth="1"/>
    <col min="9478" max="9478" width="74.140625" style="3" customWidth="1"/>
    <col min="9479" max="9479" width="5.42578125" style="3" customWidth="1"/>
    <col min="9480" max="9480" width="14.7109375" style="3" customWidth="1"/>
    <col min="9481" max="9481" width="24.28515625" style="3" bestFit="1" customWidth="1"/>
    <col min="9482" max="9482" width="19.28515625" style="3" customWidth="1"/>
    <col min="9483" max="9483" width="16.5703125" style="3" customWidth="1"/>
    <col min="9484" max="9484" width="28.85546875" style="3" customWidth="1"/>
    <col min="9485" max="9485" width="17" style="3" bestFit="1" customWidth="1"/>
    <col min="9486" max="9486" width="12.42578125" style="3" bestFit="1" customWidth="1"/>
    <col min="9487" max="9487" width="22" style="3" bestFit="1" customWidth="1"/>
    <col min="9488" max="9488" width="31.28515625" style="3" customWidth="1"/>
    <col min="9489" max="9728" width="9.140625" style="3"/>
    <col min="9729" max="9729" width="5.28515625" style="3" customWidth="1"/>
    <col min="9730" max="9730" width="27.85546875" style="3" customWidth="1"/>
    <col min="9731" max="9731" width="17.42578125" style="3" customWidth="1"/>
    <col min="9732" max="9732" width="25.85546875" style="3" customWidth="1"/>
    <col min="9733" max="9733" width="24.140625" style="3" customWidth="1"/>
    <col min="9734" max="9734" width="74.140625" style="3" customWidth="1"/>
    <col min="9735" max="9735" width="5.42578125" style="3" customWidth="1"/>
    <col min="9736" max="9736" width="14.7109375" style="3" customWidth="1"/>
    <col min="9737" max="9737" width="24.28515625" style="3" bestFit="1" customWidth="1"/>
    <col min="9738" max="9738" width="19.28515625" style="3" customWidth="1"/>
    <col min="9739" max="9739" width="16.5703125" style="3" customWidth="1"/>
    <col min="9740" max="9740" width="28.85546875" style="3" customWidth="1"/>
    <col min="9741" max="9741" width="17" style="3" bestFit="1" customWidth="1"/>
    <col min="9742" max="9742" width="12.42578125" style="3" bestFit="1" customWidth="1"/>
    <col min="9743" max="9743" width="22" style="3" bestFit="1" customWidth="1"/>
    <col min="9744" max="9744" width="31.28515625" style="3" customWidth="1"/>
    <col min="9745" max="9984" width="9.140625" style="3"/>
    <col min="9985" max="9985" width="5.28515625" style="3" customWidth="1"/>
    <col min="9986" max="9986" width="27.85546875" style="3" customWidth="1"/>
    <col min="9987" max="9987" width="17.42578125" style="3" customWidth="1"/>
    <col min="9988" max="9988" width="25.85546875" style="3" customWidth="1"/>
    <col min="9989" max="9989" width="24.140625" style="3" customWidth="1"/>
    <col min="9990" max="9990" width="74.140625" style="3" customWidth="1"/>
    <col min="9991" max="9991" width="5.42578125" style="3" customWidth="1"/>
    <col min="9992" max="9992" width="14.7109375" style="3" customWidth="1"/>
    <col min="9993" max="9993" width="24.28515625" style="3" bestFit="1" customWidth="1"/>
    <col min="9994" max="9994" width="19.28515625" style="3" customWidth="1"/>
    <col min="9995" max="9995" width="16.5703125" style="3" customWidth="1"/>
    <col min="9996" max="9996" width="28.85546875" style="3" customWidth="1"/>
    <col min="9997" max="9997" width="17" style="3" bestFit="1" customWidth="1"/>
    <col min="9998" max="9998" width="12.42578125" style="3" bestFit="1" customWidth="1"/>
    <col min="9999" max="9999" width="22" style="3" bestFit="1" customWidth="1"/>
    <col min="10000" max="10000" width="31.28515625" style="3" customWidth="1"/>
    <col min="10001" max="10240" width="9.140625" style="3"/>
    <col min="10241" max="10241" width="5.28515625" style="3" customWidth="1"/>
    <col min="10242" max="10242" width="27.85546875" style="3" customWidth="1"/>
    <col min="10243" max="10243" width="17.42578125" style="3" customWidth="1"/>
    <col min="10244" max="10244" width="25.85546875" style="3" customWidth="1"/>
    <col min="10245" max="10245" width="24.140625" style="3" customWidth="1"/>
    <col min="10246" max="10246" width="74.140625" style="3" customWidth="1"/>
    <col min="10247" max="10247" width="5.42578125" style="3" customWidth="1"/>
    <col min="10248" max="10248" width="14.7109375" style="3" customWidth="1"/>
    <col min="10249" max="10249" width="24.28515625" style="3" bestFit="1" customWidth="1"/>
    <col min="10250" max="10250" width="19.28515625" style="3" customWidth="1"/>
    <col min="10251" max="10251" width="16.5703125" style="3" customWidth="1"/>
    <col min="10252" max="10252" width="28.85546875" style="3" customWidth="1"/>
    <col min="10253" max="10253" width="17" style="3" bestFit="1" customWidth="1"/>
    <col min="10254" max="10254" width="12.42578125" style="3" bestFit="1" customWidth="1"/>
    <col min="10255" max="10255" width="22" style="3" bestFit="1" customWidth="1"/>
    <col min="10256" max="10256" width="31.28515625" style="3" customWidth="1"/>
    <col min="10257" max="10496" width="9.140625" style="3"/>
    <col min="10497" max="10497" width="5.28515625" style="3" customWidth="1"/>
    <col min="10498" max="10498" width="27.85546875" style="3" customWidth="1"/>
    <col min="10499" max="10499" width="17.42578125" style="3" customWidth="1"/>
    <col min="10500" max="10500" width="25.85546875" style="3" customWidth="1"/>
    <col min="10501" max="10501" width="24.140625" style="3" customWidth="1"/>
    <col min="10502" max="10502" width="74.140625" style="3" customWidth="1"/>
    <col min="10503" max="10503" width="5.42578125" style="3" customWidth="1"/>
    <col min="10504" max="10504" width="14.7109375" style="3" customWidth="1"/>
    <col min="10505" max="10505" width="24.28515625" style="3" bestFit="1" customWidth="1"/>
    <col min="10506" max="10506" width="19.28515625" style="3" customWidth="1"/>
    <col min="10507" max="10507" width="16.5703125" style="3" customWidth="1"/>
    <col min="10508" max="10508" width="28.85546875" style="3" customWidth="1"/>
    <col min="10509" max="10509" width="17" style="3" bestFit="1" customWidth="1"/>
    <col min="10510" max="10510" width="12.42578125" style="3" bestFit="1" customWidth="1"/>
    <col min="10511" max="10511" width="22" style="3" bestFit="1" customWidth="1"/>
    <col min="10512" max="10512" width="31.28515625" style="3" customWidth="1"/>
    <col min="10513" max="10752" width="9.140625" style="3"/>
    <col min="10753" max="10753" width="5.28515625" style="3" customWidth="1"/>
    <col min="10754" max="10754" width="27.85546875" style="3" customWidth="1"/>
    <col min="10755" max="10755" width="17.42578125" style="3" customWidth="1"/>
    <col min="10756" max="10756" width="25.85546875" style="3" customWidth="1"/>
    <col min="10757" max="10757" width="24.140625" style="3" customWidth="1"/>
    <col min="10758" max="10758" width="74.140625" style="3" customWidth="1"/>
    <col min="10759" max="10759" width="5.42578125" style="3" customWidth="1"/>
    <col min="10760" max="10760" width="14.7109375" style="3" customWidth="1"/>
    <col min="10761" max="10761" width="24.28515625" style="3" bestFit="1" customWidth="1"/>
    <col min="10762" max="10762" width="19.28515625" style="3" customWidth="1"/>
    <col min="10763" max="10763" width="16.5703125" style="3" customWidth="1"/>
    <col min="10764" max="10764" width="28.85546875" style="3" customWidth="1"/>
    <col min="10765" max="10765" width="17" style="3" bestFit="1" customWidth="1"/>
    <col min="10766" max="10766" width="12.42578125" style="3" bestFit="1" customWidth="1"/>
    <col min="10767" max="10767" width="22" style="3" bestFit="1" customWidth="1"/>
    <col min="10768" max="10768" width="31.28515625" style="3" customWidth="1"/>
    <col min="10769" max="11008" width="9.140625" style="3"/>
    <col min="11009" max="11009" width="5.28515625" style="3" customWidth="1"/>
    <col min="11010" max="11010" width="27.85546875" style="3" customWidth="1"/>
    <col min="11011" max="11011" width="17.42578125" style="3" customWidth="1"/>
    <col min="11012" max="11012" width="25.85546875" style="3" customWidth="1"/>
    <col min="11013" max="11013" width="24.140625" style="3" customWidth="1"/>
    <col min="11014" max="11014" width="74.140625" style="3" customWidth="1"/>
    <col min="11015" max="11015" width="5.42578125" style="3" customWidth="1"/>
    <col min="11016" max="11016" width="14.7109375" style="3" customWidth="1"/>
    <col min="11017" max="11017" width="24.28515625" style="3" bestFit="1" customWidth="1"/>
    <col min="11018" max="11018" width="19.28515625" style="3" customWidth="1"/>
    <col min="11019" max="11019" width="16.5703125" style="3" customWidth="1"/>
    <col min="11020" max="11020" width="28.85546875" style="3" customWidth="1"/>
    <col min="11021" max="11021" width="17" style="3" bestFit="1" customWidth="1"/>
    <col min="11022" max="11022" width="12.42578125" style="3" bestFit="1" customWidth="1"/>
    <col min="11023" max="11023" width="22" style="3" bestFit="1" customWidth="1"/>
    <col min="11024" max="11024" width="31.28515625" style="3" customWidth="1"/>
    <col min="11025" max="11264" width="9.140625" style="3"/>
    <col min="11265" max="11265" width="5.28515625" style="3" customWidth="1"/>
    <col min="11266" max="11266" width="27.85546875" style="3" customWidth="1"/>
    <col min="11267" max="11267" width="17.42578125" style="3" customWidth="1"/>
    <col min="11268" max="11268" width="25.85546875" style="3" customWidth="1"/>
    <col min="11269" max="11269" width="24.140625" style="3" customWidth="1"/>
    <col min="11270" max="11270" width="74.140625" style="3" customWidth="1"/>
    <col min="11271" max="11271" width="5.42578125" style="3" customWidth="1"/>
    <col min="11272" max="11272" width="14.7109375" style="3" customWidth="1"/>
    <col min="11273" max="11273" width="24.28515625" style="3" bestFit="1" customWidth="1"/>
    <col min="11274" max="11274" width="19.28515625" style="3" customWidth="1"/>
    <col min="11275" max="11275" width="16.5703125" style="3" customWidth="1"/>
    <col min="11276" max="11276" width="28.85546875" style="3" customWidth="1"/>
    <col min="11277" max="11277" width="17" style="3" bestFit="1" customWidth="1"/>
    <col min="11278" max="11278" width="12.42578125" style="3" bestFit="1" customWidth="1"/>
    <col min="11279" max="11279" width="22" style="3" bestFit="1" customWidth="1"/>
    <col min="11280" max="11280" width="31.28515625" style="3" customWidth="1"/>
    <col min="11281" max="11520" width="9.140625" style="3"/>
    <col min="11521" max="11521" width="5.28515625" style="3" customWidth="1"/>
    <col min="11522" max="11522" width="27.85546875" style="3" customWidth="1"/>
    <col min="11523" max="11523" width="17.42578125" style="3" customWidth="1"/>
    <col min="11524" max="11524" width="25.85546875" style="3" customWidth="1"/>
    <col min="11525" max="11525" width="24.140625" style="3" customWidth="1"/>
    <col min="11526" max="11526" width="74.140625" style="3" customWidth="1"/>
    <col min="11527" max="11527" width="5.42578125" style="3" customWidth="1"/>
    <col min="11528" max="11528" width="14.7109375" style="3" customWidth="1"/>
    <col min="11529" max="11529" width="24.28515625" style="3" bestFit="1" customWidth="1"/>
    <col min="11530" max="11530" width="19.28515625" style="3" customWidth="1"/>
    <col min="11531" max="11531" width="16.5703125" style="3" customWidth="1"/>
    <col min="11532" max="11532" width="28.85546875" style="3" customWidth="1"/>
    <col min="11533" max="11533" width="17" style="3" bestFit="1" customWidth="1"/>
    <col min="11534" max="11534" width="12.42578125" style="3" bestFit="1" customWidth="1"/>
    <col min="11535" max="11535" width="22" style="3" bestFit="1" customWidth="1"/>
    <col min="11536" max="11536" width="31.28515625" style="3" customWidth="1"/>
    <col min="11537" max="11776" width="9.140625" style="3"/>
    <col min="11777" max="11777" width="5.28515625" style="3" customWidth="1"/>
    <col min="11778" max="11778" width="27.85546875" style="3" customWidth="1"/>
    <col min="11779" max="11779" width="17.42578125" style="3" customWidth="1"/>
    <col min="11780" max="11780" width="25.85546875" style="3" customWidth="1"/>
    <col min="11781" max="11781" width="24.140625" style="3" customWidth="1"/>
    <col min="11782" max="11782" width="74.140625" style="3" customWidth="1"/>
    <col min="11783" max="11783" width="5.42578125" style="3" customWidth="1"/>
    <col min="11784" max="11784" width="14.7109375" style="3" customWidth="1"/>
    <col min="11785" max="11785" width="24.28515625" style="3" bestFit="1" customWidth="1"/>
    <col min="11786" max="11786" width="19.28515625" style="3" customWidth="1"/>
    <col min="11787" max="11787" width="16.5703125" style="3" customWidth="1"/>
    <col min="11788" max="11788" width="28.85546875" style="3" customWidth="1"/>
    <col min="11789" max="11789" width="17" style="3" bestFit="1" customWidth="1"/>
    <col min="11790" max="11790" width="12.42578125" style="3" bestFit="1" customWidth="1"/>
    <col min="11791" max="11791" width="22" style="3" bestFit="1" customWidth="1"/>
    <col min="11792" max="11792" width="31.28515625" style="3" customWidth="1"/>
    <col min="11793" max="12032" width="9.140625" style="3"/>
    <col min="12033" max="12033" width="5.28515625" style="3" customWidth="1"/>
    <col min="12034" max="12034" width="27.85546875" style="3" customWidth="1"/>
    <col min="12035" max="12035" width="17.42578125" style="3" customWidth="1"/>
    <col min="12036" max="12036" width="25.85546875" style="3" customWidth="1"/>
    <col min="12037" max="12037" width="24.140625" style="3" customWidth="1"/>
    <col min="12038" max="12038" width="74.140625" style="3" customWidth="1"/>
    <col min="12039" max="12039" width="5.42578125" style="3" customWidth="1"/>
    <col min="12040" max="12040" width="14.7109375" style="3" customWidth="1"/>
    <col min="12041" max="12041" width="24.28515625" style="3" bestFit="1" customWidth="1"/>
    <col min="12042" max="12042" width="19.28515625" style="3" customWidth="1"/>
    <col min="12043" max="12043" width="16.5703125" style="3" customWidth="1"/>
    <col min="12044" max="12044" width="28.85546875" style="3" customWidth="1"/>
    <col min="12045" max="12045" width="17" style="3" bestFit="1" customWidth="1"/>
    <col min="12046" max="12046" width="12.42578125" style="3" bestFit="1" customWidth="1"/>
    <col min="12047" max="12047" width="22" style="3" bestFit="1" customWidth="1"/>
    <col min="12048" max="12048" width="31.28515625" style="3" customWidth="1"/>
    <col min="12049" max="12288" width="9.140625" style="3"/>
    <col min="12289" max="12289" width="5.28515625" style="3" customWidth="1"/>
    <col min="12290" max="12290" width="27.85546875" style="3" customWidth="1"/>
    <col min="12291" max="12291" width="17.42578125" style="3" customWidth="1"/>
    <col min="12292" max="12292" width="25.85546875" style="3" customWidth="1"/>
    <col min="12293" max="12293" width="24.140625" style="3" customWidth="1"/>
    <col min="12294" max="12294" width="74.140625" style="3" customWidth="1"/>
    <col min="12295" max="12295" width="5.42578125" style="3" customWidth="1"/>
    <col min="12296" max="12296" width="14.7109375" style="3" customWidth="1"/>
    <col min="12297" max="12297" width="24.28515625" style="3" bestFit="1" customWidth="1"/>
    <col min="12298" max="12298" width="19.28515625" style="3" customWidth="1"/>
    <col min="12299" max="12299" width="16.5703125" style="3" customWidth="1"/>
    <col min="12300" max="12300" width="28.85546875" style="3" customWidth="1"/>
    <col min="12301" max="12301" width="17" style="3" bestFit="1" customWidth="1"/>
    <col min="12302" max="12302" width="12.42578125" style="3" bestFit="1" customWidth="1"/>
    <col min="12303" max="12303" width="22" style="3" bestFit="1" customWidth="1"/>
    <col min="12304" max="12304" width="31.28515625" style="3" customWidth="1"/>
    <col min="12305" max="12544" width="9.140625" style="3"/>
    <col min="12545" max="12545" width="5.28515625" style="3" customWidth="1"/>
    <col min="12546" max="12546" width="27.85546875" style="3" customWidth="1"/>
    <col min="12547" max="12547" width="17.42578125" style="3" customWidth="1"/>
    <col min="12548" max="12548" width="25.85546875" style="3" customWidth="1"/>
    <col min="12549" max="12549" width="24.140625" style="3" customWidth="1"/>
    <col min="12550" max="12550" width="74.140625" style="3" customWidth="1"/>
    <col min="12551" max="12551" width="5.42578125" style="3" customWidth="1"/>
    <col min="12552" max="12552" width="14.7109375" style="3" customWidth="1"/>
    <col min="12553" max="12553" width="24.28515625" style="3" bestFit="1" customWidth="1"/>
    <col min="12554" max="12554" width="19.28515625" style="3" customWidth="1"/>
    <col min="12555" max="12555" width="16.5703125" style="3" customWidth="1"/>
    <col min="12556" max="12556" width="28.85546875" style="3" customWidth="1"/>
    <col min="12557" max="12557" width="17" style="3" bestFit="1" customWidth="1"/>
    <col min="12558" max="12558" width="12.42578125" style="3" bestFit="1" customWidth="1"/>
    <col min="12559" max="12559" width="22" style="3" bestFit="1" customWidth="1"/>
    <col min="12560" max="12560" width="31.28515625" style="3" customWidth="1"/>
    <col min="12561" max="12800" width="9.140625" style="3"/>
    <col min="12801" max="12801" width="5.28515625" style="3" customWidth="1"/>
    <col min="12802" max="12802" width="27.85546875" style="3" customWidth="1"/>
    <col min="12803" max="12803" width="17.42578125" style="3" customWidth="1"/>
    <col min="12804" max="12804" width="25.85546875" style="3" customWidth="1"/>
    <col min="12805" max="12805" width="24.140625" style="3" customWidth="1"/>
    <col min="12806" max="12806" width="74.140625" style="3" customWidth="1"/>
    <col min="12807" max="12807" width="5.42578125" style="3" customWidth="1"/>
    <col min="12808" max="12808" width="14.7109375" style="3" customWidth="1"/>
    <col min="12809" max="12809" width="24.28515625" style="3" bestFit="1" customWidth="1"/>
    <col min="12810" max="12810" width="19.28515625" style="3" customWidth="1"/>
    <col min="12811" max="12811" width="16.5703125" style="3" customWidth="1"/>
    <col min="12812" max="12812" width="28.85546875" style="3" customWidth="1"/>
    <col min="12813" max="12813" width="17" style="3" bestFit="1" customWidth="1"/>
    <col min="12814" max="12814" width="12.42578125" style="3" bestFit="1" customWidth="1"/>
    <col min="12815" max="12815" width="22" style="3" bestFit="1" customWidth="1"/>
    <col min="12816" max="12816" width="31.28515625" style="3" customWidth="1"/>
    <col min="12817" max="13056" width="9.140625" style="3"/>
    <col min="13057" max="13057" width="5.28515625" style="3" customWidth="1"/>
    <col min="13058" max="13058" width="27.85546875" style="3" customWidth="1"/>
    <col min="13059" max="13059" width="17.42578125" style="3" customWidth="1"/>
    <col min="13060" max="13060" width="25.85546875" style="3" customWidth="1"/>
    <col min="13061" max="13061" width="24.140625" style="3" customWidth="1"/>
    <col min="13062" max="13062" width="74.140625" style="3" customWidth="1"/>
    <col min="13063" max="13063" width="5.42578125" style="3" customWidth="1"/>
    <col min="13064" max="13064" width="14.7109375" style="3" customWidth="1"/>
    <col min="13065" max="13065" width="24.28515625" style="3" bestFit="1" customWidth="1"/>
    <col min="13066" max="13066" width="19.28515625" style="3" customWidth="1"/>
    <col min="13067" max="13067" width="16.5703125" style="3" customWidth="1"/>
    <col min="13068" max="13068" width="28.85546875" style="3" customWidth="1"/>
    <col min="13069" max="13069" width="17" style="3" bestFit="1" customWidth="1"/>
    <col min="13070" max="13070" width="12.42578125" style="3" bestFit="1" customWidth="1"/>
    <col min="13071" max="13071" width="22" style="3" bestFit="1" customWidth="1"/>
    <col min="13072" max="13072" width="31.28515625" style="3" customWidth="1"/>
    <col min="13073" max="13312" width="9.140625" style="3"/>
    <col min="13313" max="13313" width="5.28515625" style="3" customWidth="1"/>
    <col min="13314" max="13314" width="27.85546875" style="3" customWidth="1"/>
    <col min="13315" max="13315" width="17.42578125" style="3" customWidth="1"/>
    <col min="13316" max="13316" width="25.85546875" style="3" customWidth="1"/>
    <col min="13317" max="13317" width="24.140625" style="3" customWidth="1"/>
    <col min="13318" max="13318" width="74.140625" style="3" customWidth="1"/>
    <col min="13319" max="13319" width="5.42578125" style="3" customWidth="1"/>
    <col min="13320" max="13320" width="14.7109375" style="3" customWidth="1"/>
    <col min="13321" max="13321" width="24.28515625" style="3" bestFit="1" customWidth="1"/>
    <col min="13322" max="13322" width="19.28515625" style="3" customWidth="1"/>
    <col min="13323" max="13323" width="16.5703125" style="3" customWidth="1"/>
    <col min="13324" max="13324" width="28.85546875" style="3" customWidth="1"/>
    <col min="13325" max="13325" width="17" style="3" bestFit="1" customWidth="1"/>
    <col min="13326" max="13326" width="12.42578125" style="3" bestFit="1" customWidth="1"/>
    <col min="13327" max="13327" width="22" style="3" bestFit="1" customWidth="1"/>
    <col min="13328" max="13328" width="31.28515625" style="3" customWidth="1"/>
    <col min="13329" max="13568" width="9.140625" style="3"/>
    <col min="13569" max="13569" width="5.28515625" style="3" customWidth="1"/>
    <col min="13570" max="13570" width="27.85546875" style="3" customWidth="1"/>
    <col min="13571" max="13571" width="17.42578125" style="3" customWidth="1"/>
    <col min="13572" max="13572" width="25.85546875" style="3" customWidth="1"/>
    <col min="13573" max="13573" width="24.140625" style="3" customWidth="1"/>
    <col min="13574" max="13574" width="74.140625" style="3" customWidth="1"/>
    <col min="13575" max="13575" width="5.42578125" style="3" customWidth="1"/>
    <col min="13576" max="13576" width="14.7109375" style="3" customWidth="1"/>
    <col min="13577" max="13577" width="24.28515625" style="3" bestFit="1" customWidth="1"/>
    <col min="13578" max="13578" width="19.28515625" style="3" customWidth="1"/>
    <col min="13579" max="13579" width="16.5703125" style="3" customWidth="1"/>
    <col min="13580" max="13580" width="28.85546875" style="3" customWidth="1"/>
    <col min="13581" max="13581" width="17" style="3" bestFit="1" customWidth="1"/>
    <col min="13582" max="13582" width="12.42578125" style="3" bestFit="1" customWidth="1"/>
    <col min="13583" max="13583" width="22" style="3" bestFit="1" customWidth="1"/>
    <col min="13584" max="13584" width="31.28515625" style="3" customWidth="1"/>
    <col min="13585" max="13824" width="9.140625" style="3"/>
    <col min="13825" max="13825" width="5.28515625" style="3" customWidth="1"/>
    <col min="13826" max="13826" width="27.85546875" style="3" customWidth="1"/>
    <col min="13827" max="13827" width="17.42578125" style="3" customWidth="1"/>
    <col min="13828" max="13828" width="25.85546875" style="3" customWidth="1"/>
    <col min="13829" max="13829" width="24.140625" style="3" customWidth="1"/>
    <col min="13830" max="13830" width="74.140625" style="3" customWidth="1"/>
    <col min="13831" max="13831" width="5.42578125" style="3" customWidth="1"/>
    <col min="13832" max="13832" width="14.7109375" style="3" customWidth="1"/>
    <col min="13833" max="13833" width="24.28515625" style="3" bestFit="1" customWidth="1"/>
    <col min="13834" max="13834" width="19.28515625" style="3" customWidth="1"/>
    <col min="13835" max="13835" width="16.5703125" style="3" customWidth="1"/>
    <col min="13836" max="13836" width="28.85546875" style="3" customWidth="1"/>
    <col min="13837" max="13837" width="17" style="3" bestFit="1" customWidth="1"/>
    <col min="13838" max="13838" width="12.42578125" style="3" bestFit="1" customWidth="1"/>
    <col min="13839" max="13839" width="22" style="3" bestFit="1" customWidth="1"/>
    <col min="13840" max="13840" width="31.28515625" style="3" customWidth="1"/>
    <col min="13841" max="14080" width="9.140625" style="3"/>
    <col min="14081" max="14081" width="5.28515625" style="3" customWidth="1"/>
    <col min="14082" max="14082" width="27.85546875" style="3" customWidth="1"/>
    <col min="14083" max="14083" width="17.42578125" style="3" customWidth="1"/>
    <col min="14084" max="14084" width="25.85546875" style="3" customWidth="1"/>
    <col min="14085" max="14085" width="24.140625" style="3" customWidth="1"/>
    <col min="14086" max="14086" width="74.140625" style="3" customWidth="1"/>
    <col min="14087" max="14087" width="5.42578125" style="3" customWidth="1"/>
    <col min="14088" max="14088" width="14.7109375" style="3" customWidth="1"/>
    <col min="14089" max="14089" width="24.28515625" style="3" bestFit="1" customWidth="1"/>
    <col min="14090" max="14090" width="19.28515625" style="3" customWidth="1"/>
    <col min="14091" max="14091" width="16.5703125" style="3" customWidth="1"/>
    <col min="14092" max="14092" width="28.85546875" style="3" customWidth="1"/>
    <col min="14093" max="14093" width="17" style="3" bestFit="1" customWidth="1"/>
    <col min="14094" max="14094" width="12.42578125" style="3" bestFit="1" customWidth="1"/>
    <col min="14095" max="14095" width="22" style="3" bestFit="1" customWidth="1"/>
    <col min="14096" max="14096" width="31.28515625" style="3" customWidth="1"/>
    <col min="14097" max="14336" width="9.140625" style="3"/>
    <col min="14337" max="14337" width="5.28515625" style="3" customWidth="1"/>
    <col min="14338" max="14338" width="27.85546875" style="3" customWidth="1"/>
    <col min="14339" max="14339" width="17.42578125" style="3" customWidth="1"/>
    <col min="14340" max="14340" width="25.85546875" style="3" customWidth="1"/>
    <col min="14341" max="14341" width="24.140625" style="3" customWidth="1"/>
    <col min="14342" max="14342" width="74.140625" style="3" customWidth="1"/>
    <col min="14343" max="14343" width="5.42578125" style="3" customWidth="1"/>
    <col min="14344" max="14344" width="14.7109375" style="3" customWidth="1"/>
    <col min="14345" max="14345" width="24.28515625" style="3" bestFit="1" customWidth="1"/>
    <col min="14346" max="14346" width="19.28515625" style="3" customWidth="1"/>
    <col min="14347" max="14347" width="16.5703125" style="3" customWidth="1"/>
    <col min="14348" max="14348" width="28.85546875" style="3" customWidth="1"/>
    <col min="14349" max="14349" width="17" style="3" bestFit="1" customWidth="1"/>
    <col min="14350" max="14350" width="12.42578125" style="3" bestFit="1" customWidth="1"/>
    <col min="14351" max="14351" width="22" style="3" bestFit="1" customWidth="1"/>
    <col min="14352" max="14352" width="31.28515625" style="3" customWidth="1"/>
    <col min="14353" max="14592" width="9.140625" style="3"/>
    <col min="14593" max="14593" width="5.28515625" style="3" customWidth="1"/>
    <col min="14594" max="14594" width="27.85546875" style="3" customWidth="1"/>
    <col min="14595" max="14595" width="17.42578125" style="3" customWidth="1"/>
    <col min="14596" max="14596" width="25.85546875" style="3" customWidth="1"/>
    <col min="14597" max="14597" width="24.140625" style="3" customWidth="1"/>
    <col min="14598" max="14598" width="74.140625" style="3" customWidth="1"/>
    <col min="14599" max="14599" width="5.42578125" style="3" customWidth="1"/>
    <col min="14600" max="14600" width="14.7109375" style="3" customWidth="1"/>
    <col min="14601" max="14601" width="24.28515625" style="3" bestFit="1" customWidth="1"/>
    <col min="14602" max="14602" width="19.28515625" style="3" customWidth="1"/>
    <col min="14603" max="14603" width="16.5703125" style="3" customWidth="1"/>
    <col min="14604" max="14604" width="28.85546875" style="3" customWidth="1"/>
    <col min="14605" max="14605" width="17" style="3" bestFit="1" customWidth="1"/>
    <col min="14606" max="14606" width="12.42578125" style="3" bestFit="1" customWidth="1"/>
    <col min="14607" max="14607" width="22" style="3" bestFit="1" customWidth="1"/>
    <col min="14608" max="14608" width="31.28515625" style="3" customWidth="1"/>
    <col min="14609" max="14848" width="9.140625" style="3"/>
    <col min="14849" max="14849" width="5.28515625" style="3" customWidth="1"/>
    <col min="14850" max="14850" width="27.85546875" style="3" customWidth="1"/>
    <col min="14851" max="14851" width="17.42578125" style="3" customWidth="1"/>
    <col min="14852" max="14852" width="25.85546875" style="3" customWidth="1"/>
    <col min="14853" max="14853" width="24.140625" style="3" customWidth="1"/>
    <col min="14854" max="14854" width="74.140625" style="3" customWidth="1"/>
    <col min="14855" max="14855" width="5.42578125" style="3" customWidth="1"/>
    <col min="14856" max="14856" width="14.7109375" style="3" customWidth="1"/>
    <col min="14857" max="14857" width="24.28515625" style="3" bestFit="1" customWidth="1"/>
    <col min="14858" max="14858" width="19.28515625" style="3" customWidth="1"/>
    <col min="14859" max="14859" width="16.5703125" style="3" customWidth="1"/>
    <col min="14860" max="14860" width="28.85546875" style="3" customWidth="1"/>
    <col min="14861" max="14861" width="17" style="3" bestFit="1" customWidth="1"/>
    <col min="14862" max="14862" width="12.42578125" style="3" bestFit="1" customWidth="1"/>
    <col min="14863" max="14863" width="22" style="3" bestFit="1" customWidth="1"/>
    <col min="14864" max="14864" width="31.28515625" style="3" customWidth="1"/>
    <col min="14865" max="15104" width="9.140625" style="3"/>
    <col min="15105" max="15105" width="5.28515625" style="3" customWidth="1"/>
    <col min="15106" max="15106" width="27.85546875" style="3" customWidth="1"/>
    <col min="15107" max="15107" width="17.42578125" style="3" customWidth="1"/>
    <col min="15108" max="15108" width="25.85546875" style="3" customWidth="1"/>
    <col min="15109" max="15109" width="24.140625" style="3" customWidth="1"/>
    <col min="15110" max="15110" width="74.140625" style="3" customWidth="1"/>
    <col min="15111" max="15111" width="5.42578125" style="3" customWidth="1"/>
    <col min="15112" max="15112" width="14.7109375" style="3" customWidth="1"/>
    <col min="15113" max="15113" width="24.28515625" style="3" bestFit="1" customWidth="1"/>
    <col min="15114" max="15114" width="19.28515625" style="3" customWidth="1"/>
    <col min="15115" max="15115" width="16.5703125" style="3" customWidth="1"/>
    <col min="15116" max="15116" width="28.85546875" style="3" customWidth="1"/>
    <col min="15117" max="15117" width="17" style="3" bestFit="1" customWidth="1"/>
    <col min="15118" max="15118" width="12.42578125" style="3" bestFit="1" customWidth="1"/>
    <col min="15119" max="15119" width="22" style="3" bestFit="1" customWidth="1"/>
    <col min="15120" max="15120" width="31.28515625" style="3" customWidth="1"/>
    <col min="15121" max="15360" width="9.140625" style="3"/>
    <col min="15361" max="15361" width="5.28515625" style="3" customWidth="1"/>
    <col min="15362" max="15362" width="27.85546875" style="3" customWidth="1"/>
    <col min="15363" max="15363" width="17.42578125" style="3" customWidth="1"/>
    <col min="15364" max="15364" width="25.85546875" style="3" customWidth="1"/>
    <col min="15365" max="15365" width="24.140625" style="3" customWidth="1"/>
    <col min="15366" max="15366" width="74.140625" style="3" customWidth="1"/>
    <col min="15367" max="15367" width="5.42578125" style="3" customWidth="1"/>
    <col min="15368" max="15368" width="14.7109375" style="3" customWidth="1"/>
    <col min="15369" max="15369" width="24.28515625" style="3" bestFit="1" customWidth="1"/>
    <col min="15370" max="15370" width="19.28515625" style="3" customWidth="1"/>
    <col min="15371" max="15371" width="16.5703125" style="3" customWidth="1"/>
    <col min="15372" max="15372" width="28.85546875" style="3" customWidth="1"/>
    <col min="15373" max="15373" width="17" style="3" bestFit="1" customWidth="1"/>
    <col min="15374" max="15374" width="12.42578125" style="3" bestFit="1" customWidth="1"/>
    <col min="15375" max="15375" width="22" style="3" bestFit="1" customWidth="1"/>
    <col min="15376" max="15376" width="31.28515625" style="3" customWidth="1"/>
    <col min="15377" max="15616" width="9.140625" style="3"/>
    <col min="15617" max="15617" width="5.28515625" style="3" customWidth="1"/>
    <col min="15618" max="15618" width="27.85546875" style="3" customWidth="1"/>
    <col min="15619" max="15619" width="17.42578125" style="3" customWidth="1"/>
    <col min="15620" max="15620" width="25.85546875" style="3" customWidth="1"/>
    <col min="15621" max="15621" width="24.140625" style="3" customWidth="1"/>
    <col min="15622" max="15622" width="74.140625" style="3" customWidth="1"/>
    <col min="15623" max="15623" width="5.42578125" style="3" customWidth="1"/>
    <col min="15624" max="15624" width="14.7109375" style="3" customWidth="1"/>
    <col min="15625" max="15625" width="24.28515625" style="3" bestFit="1" customWidth="1"/>
    <col min="15626" max="15626" width="19.28515625" style="3" customWidth="1"/>
    <col min="15627" max="15627" width="16.5703125" style="3" customWidth="1"/>
    <col min="15628" max="15628" width="28.85546875" style="3" customWidth="1"/>
    <col min="15629" max="15629" width="17" style="3" bestFit="1" customWidth="1"/>
    <col min="15630" max="15630" width="12.42578125" style="3" bestFit="1" customWidth="1"/>
    <col min="15631" max="15631" width="22" style="3" bestFit="1" customWidth="1"/>
    <col min="15632" max="15632" width="31.28515625" style="3" customWidth="1"/>
    <col min="15633" max="15872" width="9.140625" style="3"/>
    <col min="15873" max="15873" width="5.28515625" style="3" customWidth="1"/>
    <col min="15874" max="15874" width="27.85546875" style="3" customWidth="1"/>
    <col min="15875" max="15875" width="17.42578125" style="3" customWidth="1"/>
    <col min="15876" max="15876" width="25.85546875" style="3" customWidth="1"/>
    <col min="15877" max="15877" width="24.140625" style="3" customWidth="1"/>
    <col min="15878" max="15878" width="74.140625" style="3" customWidth="1"/>
    <col min="15879" max="15879" width="5.42578125" style="3" customWidth="1"/>
    <col min="15880" max="15880" width="14.7109375" style="3" customWidth="1"/>
    <col min="15881" max="15881" width="24.28515625" style="3" bestFit="1" customWidth="1"/>
    <col min="15882" max="15882" width="19.28515625" style="3" customWidth="1"/>
    <col min="15883" max="15883" width="16.5703125" style="3" customWidth="1"/>
    <col min="15884" max="15884" width="28.85546875" style="3" customWidth="1"/>
    <col min="15885" max="15885" width="17" style="3" bestFit="1" customWidth="1"/>
    <col min="15886" max="15886" width="12.42578125" style="3" bestFit="1" customWidth="1"/>
    <col min="15887" max="15887" width="22" style="3" bestFit="1" customWidth="1"/>
    <col min="15888" max="15888" width="31.28515625" style="3" customWidth="1"/>
    <col min="15889" max="16128" width="9.140625" style="3"/>
    <col min="16129" max="16129" width="5.28515625" style="3" customWidth="1"/>
    <col min="16130" max="16130" width="27.85546875" style="3" customWidth="1"/>
    <col min="16131" max="16131" width="17.42578125" style="3" customWidth="1"/>
    <col min="16132" max="16132" width="25.85546875" style="3" customWidth="1"/>
    <col min="16133" max="16133" width="24.140625" style="3" customWidth="1"/>
    <col min="16134" max="16134" width="74.140625" style="3" customWidth="1"/>
    <col min="16135" max="16135" width="5.42578125" style="3" customWidth="1"/>
    <col min="16136" max="16136" width="14.7109375" style="3" customWidth="1"/>
    <col min="16137" max="16137" width="24.28515625" style="3" bestFit="1" customWidth="1"/>
    <col min="16138" max="16138" width="19.28515625" style="3" customWidth="1"/>
    <col min="16139" max="16139" width="16.5703125" style="3" customWidth="1"/>
    <col min="16140" max="16140" width="28.85546875" style="3" customWidth="1"/>
    <col min="16141" max="16141" width="17" style="3" bestFit="1" customWidth="1"/>
    <col min="16142" max="16142" width="12.42578125" style="3" bestFit="1" customWidth="1"/>
    <col min="16143" max="16143" width="22" style="3" bestFit="1" customWidth="1"/>
    <col min="16144" max="16144" width="31.28515625" style="3" customWidth="1"/>
    <col min="16145" max="16384" width="9.140625" style="3"/>
  </cols>
  <sheetData>
    <row r="1" spans="1:8" ht="108" customHeight="1" x14ac:dyDescent="0.45">
      <c r="A1" s="2"/>
      <c r="D1" s="4" t="s">
        <v>11</v>
      </c>
      <c r="E1" s="2"/>
    </row>
    <row r="2" spans="1:8" ht="7.5" customHeight="1" x14ac:dyDescent="0.2">
      <c r="A2" s="5"/>
      <c r="B2" s="5"/>
      <c r="C2" s="5"/>
      <c r="D2" s="5"/>
      <c r="E2" s="5"/>
    </row>
    <row r="3" spans="1:8" ht="0.75" customHeight="1" x14ac:dyDescent="0.2">
      <c r="A3" s="5"/>
      <c r="B3" s="5"/>
      <c r="C3" s="5"/>
      <c r="D3" s="5"/>
      <c r="E3" s="5"/>
    </row>
    <row r="4" spans="1:8" ht="22.5" customHeight="1" x14ac:dyDescent="0.2">
      <c r="B4" s="6" t="s">
        <v>12</v>
      </c>
      <c r="C4" s="6"/>
      <c r="D4" s="6" t="s">
        <v>13</v>
      </c>
      <c r="E4" s="6" t="s">
        <v>14</v>
      </c>
      <c r="F4" s="7" t="s">
        <v>15</v>
      </c>
    </row>
    <row r="5" spans="1:8" ht="45" customHeight="1" x14ac:dyDescent="0.2">
      <c r="B5" s="8" t="s">
        <v>16</v>
      </c>
      <c r="C5" s="6" t="s">
        <v>17</v>
      </c>
      <c r="D5" s="9"/>
      <c r="E5" s="8" t="str">
        <f>IF(OR(D5="phenprocoumon",D5="acenocoumarol"),"OK","Error")</f>
        <v>Error</v>
      </c>
      <c r="F5" s="10" t="str">
        <f>IF(OR(D5="phenprocoumon",D5="acenocoumarol"),"","Enter the coumarin derivative used for anticoagulation treatment in this patient.")</f>
        <v>Enter the coumarin derivative used for anticoagulation treatment in this patient.</v>
      </c>
    </row>
    <row r="6" spans="1:8" ht="45" customHeight="1" x14ac:dyDescent="0.2">
      <c r="B6" s="8" t="s">
        <v>18</v>
      </c>
      <c r="C6" s="6"/>
      <c r="D6" s="9" t="s">
        <v>161</v>
      </c>
      <c r="E6" s="8" t="str">
        <f>IF(OR(D6="Intervention Arm",D6="Control Arm"),"OK","Error")</f>
        <v>OK</v>
      </c>
      <c r="F6" s="10" t="str">
        <f>IF(OR(D6="intervention arm",D6="control arm"),"","Enter the arm of the study to which the patient is randomised.")</f>
        <v/>
      </c>
    </row>
    <row r="7" spans="1:8" ht="45" customHeight="1" x14ac:dyDescent="0.2">
      <c r="B7" s="8" t="s">
        <v>1</v>
      </c>
      <c r="C7" s="8"/>
      <c r="D7" s="11"/>
      <c r="E7" s="12" t="str">
        <f>IF(OR(D7= "Unknown",D7="*1/*1 (wild type)",D7="*1/*2",D7="*1/*3",D7="*2/*2",D7="*2/*3",D7="*3/*3",D6="Control Arm"),"OK","Error")</f>
        <v>Error</v>
      </c>
      <c r="F7" s="10" t="str">
        <f>IF(OR(D7="Unknown",D7="*1/*1 (wild type)",D7="*1/*2",D7="*1/*3",D7="*2/*2",D7="*2/*3",D7="*3/*3",D6="Control Arm"),"","Enter a genotype for CYP2C9 using the drop down list. NOTE: If you fill this in for a patient randomised to the control arm, you do not need to fill in this field.")</f>
        <v>Enter a genotype for CYP2C9 using the drop down list. NOTE: If you fill this in for a patient randomised to the control arm, you do not need to fill in this field.</v>
      </c>
    </row>
    <row r="8" spans="1:8" ht="45" customHeight="1" x14ac:dyDescent="0.2">
      <c r="B8" s="8" t="s">
        <v>2</v>
      </c>
      <c r="C8" s="8"/>
      <c r="D8" s="11"/>
      <c r="E8" s="12" t="str">
        <f>IF(OR(D8="Unknown",D8="AA (homozygous)",D8="AG (heterozygous)",D8="GG (wild type)",D6="Control Arm"),"OK","Error")</f>
        <v>Error</v>
      </c>
      <c r="F8" s="10" t="str">
        <f>IF(OR(D8="Unknown",D8="AA (homozygous)",D8="AG (heterozygous)",D8="GG (wild type)",D6="Control Arm"),"","Enter a genotype for VKORC1 -1639 A&gt;G SNP using the drop down list. NOTE: If you fill this in for a patient randomised to the control arm, you do not need to fill in this field.")</f>
        <v>Enter a genotype for VKORC1 -1639 A&gt;G SNP using the drop down list. NOTE: If you fill this in for a patient randomised to the control arm, you do not need to fill in this field.</v>
      </c>
      <c r="G8" s="13" t="s">
        <v>19</v>
      </c>
      <c r="H8" s="13" t="s">
        <v>20</v>
      </c>
    </row>
    <row r="9" spans="1:8" ht="45" customHeight="1" x14ac:dyDescent="0.2">
      <c r="B9" s="8" t="s">
        <v>21</v>
      </c>
      <c r="C9" s="8" t="s">
        <v>22</v>
      </c>
      <c r="D9" s="11"/>
      <c r="E9" s="8" t="str">
        <f>IF(ISNUMBER(D9),IF(D9&lt;0,"Error",IF(D9&lt;45,"Warning",IF(D9&gt;120,"Error",IF(D9&gt;90,"Warning","OK")))),"Error")</f>
        <v>Error</v>
      </c>
      <c r="F9" s="10" t="str">
        <f>IF(ISNUMBER(D9),IF(D9&lt;0,"Negative values for Age are not allowed",IF(D9&lt;45,"Very few patients less than 45 years old contributed data to the development of the EU-PACT dosing algorithm, please check entered data",IF(D9&gt;90,"Very few patients older than 90 years old contirbted data to the development of the EU-PACT dosing algorithm, please check entered data",IF(D9&gt;120,"Age entered is unreasonably high","")))),"Enter a numerical value for Age in years.")</f>
        <v>Enter a numerical value for Age in years.</v>
      </c>
      <c r="G9" s="13">
        <f>IF(D9&lt;45,45,D9)</f>
        <v>45</v>
      </c>
      <c r="H9" s="13">
        <f>IF(G9&gt;90,90,G9)</f>
        <v>45</v>
      </c>
    </row>
    <row r="10" spans="1:8" ht="45" customHeight="1" x14ac:dyDescent="0.2">
      <c r="B10" s="8" t="s">
        <v>23</v>
      </c>
      <c r="C10" s="8" t="s">
        <v>24</v>
      </c>
      <c r="D10" s="11"/>
      <c r="E10" s="8" t="str">
        <f>IF(ISNUMBER(D10),IF(D10&lt;0,"Error",IF(D10&lt;150,"Warning",IF(D10&gt;195,"Warning","OK"))),"Error")</f>
        <v>Error</v>
      </c>
      <c r="F10" s="10" t="str">
        <f>IF(ISNUMBER(D10),IF(D10&lt;0,"Negative values for Height are not allowed",IF(D10&lt;150,"Only few patients shorter than 150 cm contributed data to the development of the EU-PACT dosing algorithm, please check entered data",IF(D10&gt;195,"Only few patients taller than 195 cm contributed data to the development of the EU-PACT dosing algorithm, please check entered data",""))),"Enter a numerical value for Height in cm.")</f>
        <v>Enter a numerical value for Height in cm.</v>
      </c>
      <c r="G10" s="13">
        <f>IF(D10&lt;150,150,D10)</f>
        <v>150</v>
      </c>
      <c r="H10" s="13">
        <f>IF(G10&gt;195,195,G10)</f>
        <v>150</v>
      </c>
    </row>
    <row r="11" spans="1:8" ht="45" customHeight="1" x14ac:dyDescent="0.2">
      <c r="B11" s="8" t="s">
        <v>25</v>
      </c>
      <c r="C11" s="8" t="s">
        <v>26</v>
      </c>
      <c r="D11" s="11"/>
      <c r="E11" s="8" t="str">
        <f>IF(ISNUMBER(D11),IF(D11&lt;0,"Error",IF(D11&lt;50,"Warning",IF(D11&gt;120,"Warning","OK"))),"Error")</f>
        <v>Error</v>
      </c>
      <c r="F11" s="10" t="str">
        <f>IF(ISNUMBER(D11),IF(D11&lt;0,"Negative values for Weight are not allowed",IF(D11&lt;50,"Only few patients lighter than 50 kg contributed data to the development of the EU-PACT dosing algorithm, please check entered data",IF(D11&gt;120,"Only few patients heavier than 120 kg contributed data to the development of the EU-PACT dosing algorithm, please check entered data",""))),"Enter a numerical value for Weight in kg.")</f>
        <v>Enter a numerical value for Weight in kg.</v>
      </c>
      <c r="G11" s="13">
        <f>IF(D11&lt;50,50,D11)</f>
        <v>50</v>
      </c>
      <c r="H11" s="13">
        <f>IF(G11&gt;120,120,G11)</f>
        <v>50</v>
      </c>
    </row>
    <row r="12" spans="1:8" ht="45" customHeight="1" x14ac:dyDescent="0.2">
      <c r="B12" s="8" t="s">
        <v>27</v>
      </c>
      <c r="C12" s="8"/>
      <c r="D12" s="11"/>
      <c r="E12" s="8" t="str">
        <f>IF(OR(D12="Male",D12="Female"),"OK","Error")</f>
        <v>Error</v>
      </c>
      <c r="F12" s="10" t="str">
        <f>IF(OR(D12="Male",D12="Female",D5="Phenprocoumon"),"","Enter sex of the patient.")</f>
        <v>Enter sex of the patient.</v>
      </c>
      <c r="G12" s="13"/>
      <c r="H12" s="13"/>
    </row>
    <row r="13" spans="1:8" ht="45" customHeight="1" x14ac:dyDescent="0.2">
      <c r="B13" s="12" t="s">
        <v>28</v>
      </c>
      <c r="C13" s="12"/>
      <c r="D13" s="11"/>
      <c r="E13" s="12" t="str">
        <f>IF(OR(D13="Yes",D13="No"),"OK","Error")</f>
        <v>Error</v>
      </c>
      <c r="F13" s="12" t="str">
        <f>IF(OR(D13="yes",D13="no"),"","Enter wether the patients uses amiodaron yes or no.")</f>
        <v>Enter wether the patients uses amiodaron yes or no.</v>
      </c>
      <c r="G13" s="13"/>
      <c r="H13" s="13"/>
    </row>
    <row r="14" spans="1:8" ht="9.75" customHeight="1" x14ac:dyDescent="0.2">
      <c r="B14" s="5"/>
      <c r="C14" s="5"/>
      <c r="D14" s="5"/>
      <c r="E14" s="5"/>
      <c r="F14" s="5"/>
      <c r="G14" s="13"/>
      <c r="H14" s="13"/>
    </row>
    <row r="15" spans="1:8" ht="4.5" customHeight="1" x14ac:dyDescent="0.2"/>
    <row r="16" spans="1:8" ht="51" customHeight="1" x14ac:dyDescent="0.25">
      <c r="B16" s="14" t="s">
        <v>29</v>
      </c>
      <c r="C16" s="15"/>
      <c r="D16" s="15"/>
      <c r="E16" s="15"/>
      <c r="G16" s="16"/>
      <c r="H16" s="16"/>
    </row>
    <row r="17" spans="2:8" ht="11.25" customHeight="1" x14ac:dyDescent="0.25">
      <c r="B17" s="17"/>
      <c r="G17" s="16"/>
      <c r="H17" s="16"/>
    </row>
    <row r="18" spans="2:8" ht="17.25" customHeight="1" x14ac:dyDescent="0.2">
      <c r="D18" s="18" t="s">
        <v>30</v>
      </c>
      <c r="E18" s="18" t="s">
        <v>31</v>
      </c>
      <c r="F18" s="5"/>
      <c r="G18" s="5"/>
    </row>
    <row r="19" spans="2:8" ht="30" customHeight="1" x14ac:dyDescent="0.2">
      <c r="B19" s="12" t="s">
        <v>32</v>
      </c>
      <c r="C19" s="19"/>
      <c r="D19" s="20" t="str">
        <f>IF((AND(C120=0,C122&lt;2,C123&lt;4)),D113,(IF(AND(C120=0,C122&lt;2,C123&gt;3),H113,(IF(AND(C120=0,C122&gt;1,C123&lt;4),K113,(IF(AND(C120=0,C122&gt;1,C123&gt;3),P113,"ERROR")))))))</f>
        <v>ERROR</v>
      </c>
      <c r="E19" s="20" t="str">
        <f>IF(D19="ERROR","ERROR",D19/7)</f>
        <v>ERROR</v>
      </c>
    </row>
    <row r="20" spans="2:8" ht="30" customHeight="1" x14ac:dyDescent="0.2">
      <c r="B20" s="67" t="s">
        <v>33</v>
      </c>
      <c r="C20" s="68"/>
      <c r="D20" s="20" t="str">
        <f>IF(D19="ERROR","ERROR",IF(D5="Phenprocoumon",D19/3,IF(D5="Acenocoumarol",D19,"ERROR")))</f>
        <v>ERROR</v>
      </c>
      <c r="E20" s="20" t="str">
        <f>IF(D20="ERROR","ERROR",D20/7)</f>
        <v>ERROR</v>
      </c>
      <c r="F20" s="21" t="s">
        <v>34</v>
      </c>
    </row>
    <row r="22" spans="2:8" ht="30" customHeight="1" x14ac:dyDescent="0.2">
      <c r="B22" s="22" t="s">
        <v>35</v>
      </c>
      <c r="C22" s="23"/>
      <c r="D22" s="24" t="str">
        <f>IF((AND(C120=B1286,C122&lt;2,C123&lt;4)),D115,(IF(AND(C120=0,C122&lt;2,C123&gt;3),H63,(IF(AND(C120=0,C122&gt;1,C123&lt;4),K115,(IF(AND(C120=0,C122&gt;1,C123&gt;3),P63,"ERROR")))))))</f>
        <v>ERROR</v>
      </c>
      <c r="E22" s="5"/>
    </row>
    <row r="23" spans="2:8" ht="51" customHeight="1" x14ac:dyDescent="0.25">
      <c r="B23" s="25" t="s">
        <v>36</v>
      </c>
      <c r="C23" s="26"/>
      <c r="D23" s="26"/>
      <c r="E23" s="26"/>
      <c r="F23" s="15"/>
    </row>
    <row r="24" spans="2:8" ht="10.5" customHeight="1" x14ac:dyDescent="0.25">
      <c r="B24" s="25"/>
      <c r="C24" s="26"/>
      <c r="D24" s="26"/>
      <c r="E24" s="26"/>
      <c r="F24" s="15"/>
    </row>
    <row r="25" spans="2:8" ht="24" customHeight="1" x14ac:dyDescent="0.25">
      <c r="B25" s="27"/>
      <c r="C25" s="5"/>
      <c r="D25" s="5"/>
      <c r="E25" s="6" t="s">
        <v>14</v>
      </c>
      <c r="F25" s="7" t="s">
        <v>15</v>
      </c>
    </row>
    <row r="26" spans="2:8" ht="45" customHeight="1" x14ac:dyDescent="0.2">
      <c r="B26" s="28" t="s">
        <v>37</v>
      </c>
      <c r="C26" s="29"/>
      <c r="D26" s="30"/>
      <c r="E26" s="31" t="str">
        <f>IF(OR(D26=3,D26=4,D26=5),"OK","Error")</f>
        <v>Error</v>
      </c>
      <c r="F26" s="32" t="str">
        <f>IF(OR(D26=3,D26=4,D26=5),"","Enter the day on which the FIRST(!) INR measurement is performed using the drop down list.")</f>
        <v>Enter the day on which the FIRST(!) INR measurement is performed using the drop down list.</v>
      </c>
    </row>
    <row r="27" spans="2:8" ht="45" customHeight="1" x14ac:dyDescent="0.2">
      <c r="B27" s="28" t="s">
        <v>38</v>
      </c>
      <c r="C27" s="29"/>
      <c r="D27" s="33"/>
      <c r="E27" s="31" t="str">
        <f>IF(AND(D27&gt;0.8,D27&lt;20),"OK","Error")</f>
        <v>Error</v>
      </c>
      <c r="F27" s="31" t="str">
        <f>IF(AND(D27&gt;0.8,D27&lt;20),"","Enter the FIRST(!) INR measured on day 3, 4 or 5")</f>
        <v>Enter the FIRST(!) INR measured on day 3, 4 or 5</v>
      </c>
    </row>
    <row r="28" spans="2:8" ht="24" customHeight="1" x14ac:dyDescent="0.2">
      <c r="B28" s="5"/>
      <c r="C28" s="5"/>
      <c r="D28" s="5"/>
    </row>
    <row r="29" spans="2:8" ht="17.25" customHeight="1" x14ac:dyDescent="0.2">
      <c r="B29" s="5"/>
      <c r="C29" s="5"/>
      <c r="D29" s="34" t="s">
        <v>30</v>
      </c>
      <c r="E29" s="34" t="s">
        <v>31</v>
      </c>
    </row>
    <row r="30" spans="2:8" ht="30" customHeight="1" x14ac:dyDescent="0.2">
      <c r="B30" s="28" t="s">
        <v>39</v>
      </c>
      <c r="C30" s="35"/>
      <c r="D30" s="36" t="str">
        <f>IF(OR(E26="ERROR",E27="ERROR"),"ERROR",IF(D5="phenprocoumon",D19*B134,IF(D5="acenocoumarol",D19*B143)))</f>
        <v>ERROR</v>
      </c>
      <c r="E30" s="36" t="str">
        <f>IF(OR(E26="ERROR",E27="ERROR"),"ERROR",IF(D5="phenprocoumon",E19*B134,IF(D5="acenocoumarol",E19*B143)))</f>
        <v>ERROR</v>
      </c>
    </row>
    <row r="31" spans="2:8" ht="30" customHeight="1" x14ac:dyDescent="0.2">
      <c r="B31" s="67" t="s">
        <v>40</v>
      </c>
      <c r="C31" s="68"/>
      <c r="D31" s="36" t="str">
        <f>IF(OR(E26="ERROR",E27="ERROR"),"ERROR",IF(D5="phenprocoumon",D20*B134,IF(D5="acenocoumarol",D20*B143)))</f>
        <v>ERROR</v>
      </c>
      <c r="E31" s="36" t="str">
        <f>IF(OR(E26="ERROR",E27="ERROR"),"ERROR",IF(D5="phenprocoumon",E20*B134,IF(D5="acenocoumarol",E20*B143)))</f>
        <v>ERROR</v>
      </c>
      <c r="F31" s="21" t="s">
        <v>34</v>
      </c>
    </row>
    <row r="32" spans="2:8" ht="24" customHeight="1" x14ac:dyDescent="0.2">
      <c r="B32" s="5"/>
      <c r="C32" s="5"/>
      <c r="D32" s="5"/>
    </row>
    <row r="33" spans="1:19" ht="24" customHeight="1" x14ac:dyDescent="0.25">
      <c r="B33" s="37" t="str">
        <f>IF(D5="phenprocoumon",B157,"")</f>
        <v/>
      </c>
      <c r="C33" s="38"/>
      <c r="D33" s="38"/>
      <c r="E33" s="38"/>
      <c r="F33" s="29"/>
    </row>
    <row r="34" spans="1:19" ht="24" customHeight="1" x14ac:dyDescent="0.25">
      <c r="B34" s="39"/>
      <c r="C34" s="39"/>
      <c r="D34" s="39"/>
      <c r="E34" s="39"/>
      <c r="F34" s="5"/>
    </row>
    <row r="35" spans="1:19" ht="24" customHeight="1" x14ac:dyDescent="0.25">
      <c r="B35" s="37" t="str">
        <f>IF(B148="","","WARNING: Patient needs extended loading dose!!")</f>
        <v/>
      </c>
      <c r="C35" s="38"/>
      <c r="D35" s="38"/>
      <c r="E35" s="38"/>
      <c r="F35" s="29"/>
    </row>
    <row r="36" spans="1:19" ht="30" customHeight="1" x14ac:dyDescent="0.2">
      <c r="B36" s="22" t="s">
        <v>41</v>
      </c>
      <c r="C36" s="23"/>
      <c r="D36" s="24" t="str">
        <f>IF(OR(E26="ERROR",E27="ERROR"),"",B148)</f>
        <v/>
      </c>
      <c r="E36" s="40" t="s">
        <v>42</v>
      </c>
    </row>
    <row r="37" spans="1:19" ht="24" customHeight="1" x14ac:dyDescent="0.2">
      <c r="B37" s="5"/>
      <c r="C37" s="5"/>
      <c r="D37" s="5"/>
    </row>
    <row r="38" spans="1:19" ht="80.25" customHeight="1" x14ac:dyDescent="0.2">
      <c r="A38" s="13"/>
      <c r="B38" s="69" t="s">
        <v>43</v>
      </c>
      <c r="C38" s="69"/>
      <c r="D38" s="69"/>
      <c r="E38" s="69"/>
      <c r="F38" s="69"/>
      <c r="G38" s="13"/>
      <c r="H38" s="13"/>
      <c r="I38" s="13"/>
      <c r="J38" s="13"/>
      <c r="K38" s="13"/>
      <c r="L38" s="13"/>
      <c r="M38" s="13"/>
      <c r="N38" s="13"/>
      <c r="O38" s="13"/>
      <c r="P38" s="13"/>
      <c r="Q38" s="13"/>
      <c r="R38" s="13"/>
      <c r="S38" s="13"/>
    </row>
    <row r="39" spans="1:19" x14ac:dyDescent="0.2">
      <c r="A39" s="13"/>
      <c r="B39" s="13"/>
      <c r="C39" s="13"/>
      <c r="D39" s="13"/>
      <c r="E39" s="13"/>
      <c r="F39" s="13"/>
      <c r="G39" s="13"/>
      <c r="H39" s="13"/>
      <c r="I39" s="13"/>
      <c r="J39" s="13"/>
      <c r="K39" s="13"/>
      <c r="L39" s="13"/>
      <c r="M39" s="13"/>
      <c r="N39" s="13"/>
      <c r="O39" s="13"/>
      <c r="P39" s="13"/>
      <c r="Q39" s="13"/>
      <c r="R39" s="13"/>
      <c r="S39" s="13"/>
    </row>
    <row r="40" spans="1:19" s="13" customFormat="1" x14ac:dyDescent="0.2"/>
    <row r="41" spans="1:19" s="13" customFormat="1" x14ac:dyDescent="0.2">
      <c r="B41" s="13" t="s">
        <v>44</v>
      </c>
      <c r="C41" s="13">
        <f>SQRT(1.07)</f>
        <v>1.03440804327886</v>
      </c>
      <c r="D41" s="41"/>
    </row>
    <row r="42" spans="1:19" s="13" customFormat="1" ht="13.5" thickBot="1" x14ac:dyDescent="0.25">
      <c r="B42" s="16"/>
      <c r="C42" s="16"/>
      <c r="D42" s="16"/>
      <c r="E42" s="16"/>
      <c r="F42" s="16"/>
      <c r="G42" s="16"/>
      <c r="H42" s="16"/>
      <c r="I42" s="16"/>
      <c r="J42" s="16"/>
      <c r="K42" s="16"/>
      <c r="L42" s="16"/>
      <c r="M42" s="16"/>
      <c r="N42" s="16"/>
      <c r="O42" s="16"/>
      <c r="P42" s="16"/>
    </row>
    <row r="43" spans="1:19" s="13" customFormat="1" x14ac:dyDescent="0.2">
      <c r="A43" s="16"/>
      <c r="B43" s="42" t="s">
        <v>45</v>
      </c>
      <c r="C43" s="43"/>
      <c r="D43" s="43"/>
      <c r="E43" s="43"/>
      <c r="F43" s="43"/>
      <c r="G43" s="43"/>
      <c r="H43" s="43"/>
      <c r="I43" s="43"/>
      <c r="J43" s="43"/>
      <c r="K43" s="43"/>
      <c r="L43" s="43"/>
      <c r="M43" s="43"/>
      <c r="N43" s="43"/>
      <c r="O43" s="43"/>
      <c r="P43" s="44"/>
    </row>
    <row r="44" spans="1:19" s="13" customFormat="1" x14ac:dyDescent="0.2">
      <c r="A44" s="16"/>
      <c r="B44" s="45"/>
      <c r="C44" s="46" t="s">
        <v>46</v>
      </c>
      <c r="D44" s="16" t="s">
        <v>47</v>
      </c>
      <c r="E44" s="16"/>
      <c r="F44" s="47" t="s">
        <v>48</v>
      </c>
      <c r="G44" s="16"/>
      <c r="H44" s="16" t="s">
        <v>49</v>
      </c>
      <c r="I44" s="16"/>
      <c r="J44" s="16"/>
      <c r="K44" s="16" t="s">
        <v>50</v>
      </c>
      <c r="L44" s="16" t="s">
        <v>51</v>
      </c>
      <c r="M44" s="16"/>
      <c r="N44" s="16" t="s">
        <v>52</v>
      </c>
      <c r="O44" s="16"/>
      <c r="P44" s="48" t="s">
        <v>53</v>
      </c>
    </row>
    <row r="45" spans="1:19" s="13" customFormat="1" x14ac:dyDescent="0.2">
      <c r="A45" s="16"/>
      <c r="B45" s="45" t="s">
        <v>54</v>
      </c>
      <c r="C45" s="46">
        <v>2.8744911068166101</v>
      </c>
      <c r="D45" s="16">
        <f>C45/$C$41</f>
        <v>2.7788754403968734</v>
      </c>
      <c r="E45" s="16"/>
      <c r="F45" s="46">
        <v>1.6515870906260399</v>
      </c>
      <c r="G45" s="16"/>
      <c r="H45" s="16">
        <f>F45/$C$41</f>
        <v>1.5966495053449601</v>
      </c>
      <c r="I45" s="16"/>
      <c r="J45" s="16" t="s">
        <v>54</v>
      </c>
      <c r="K45" s="46">
        <v>4.1167379372226902</v>
      </c>
      <c r="L45" s="16">
        <f>K45/$C$41</f>
        <v>3.9798007797517512</v>
      </c>
      <c r="M45" s="16"/>
      <c r="N45" s="46">
        <v>2.6354619134790598</v>
      </c>
      <c r="O45" s="16"/>
      <c r="P45" s="48">
        <f>N45/$C$41</f>
        <v>2.5477971972503126</v>
      </c>
    </row>
    <row r="46" spans="1:19" s="13" customFormat="1" x14ac:dyDescent="0.2">
      <c r="A46" s="16"/>
      <c r="B46" s="45" t="s">
        <v>55</v>
      </c>
      <c r="C46" s="46">
        <v>0.25852366866639998</v>
      </c>
      <c r="D46" s="16">
        <f t="shared" ref="D46:D56" si="0">C46/$C$41</f>
        <v>0.24992426378175994</v>
      </c>
      <c r="E46" s="16"/>
      <c r="F46" s="46"/>
      <c r="G46" s="16"/>
      <c r="H46" s="16">
        <f t="shared" ref="H46:H55" si="1">F46/$C$41</f>
        <v>0</v>
      </c>
      <c r="I46" s="16"/>
      <c r="J46" s="16" t="s">
        <v>55</v>
      </c>
      <c r="K46" s="46">
        <v>9.3437437249686603E-2</v>
      </c>
      <c r="L46" s="16">
        <f t="shared" ref="L46:L59" si="2">K46/$C$41</f>
        <v>9.0329380032186532E-2</v>
      </c>
      <c r="M46" s="16"/>
      <c r="N46" s="46"/>
      <c r="O46" s="16"/>
      <c r="P46" s="48">
        <f t="shared" ref="P46:P59" si="3">N46/$C$41</f>
        <v>0</v>
      </c>
    </row>
    <row r="47" spans="1:19" s="13" customFormat="1" x14ac:dyDescent="0.2">
      <c r="A47" s="16"/>
      <c r="B47" s="45" t="s">
        <v>56</v>
      </c>
      <c r="C47" s="46">
        <v>0.34226720037194402</v>
      </c>
      <c r="D47" s="16">
        <f t="shared" si="0"/>
        <v>0.33088219160306181</v>
      </c>
      <c r="E47" s="16"/>
      <c r="F47" s="46"/>
      <c r="G47" s="16"/>
      <c r="H47" s="16">
        <f t="shared" si="1"/>
        <v>0</v>
      </c>
      <c r="I47" s="16"/>
      <c r="J47" s="49" t="s">
        <v>56</v>
      </c>
      <c r="K47" s="46">
        <v>0.51940174007497597</v>
      </c>
      <c r="L47" s="16">
        <f t="shared" si="2"/>
        <v>0.50212461460429059</v>
      </c>
      <c r="M47" s="16"/>
      <c r="N47" s="46"/>
      <c r="O47" s="16"/>
      <c r="P47" s="48">
        <f t="shared" si="3"/>
        <v>0</v>
      </c>
    </row>
    <row r="48" spans="1:19" s="13" customFormat="1" x14ac:dyDescent="0.2">
      <c r="A48" s="16"/>
      <c r="B48" s="45" t="s">
        <v>57</v>
      </c>
      <c r="C48" s="46">
        <v>0.44674458104340098</v>
      </c>
      <c r="D48" s="16">
        <f t="shared" si="0"/>
        <v>0.43188428777807336</v>
      </c>
      <c r="E48" s="16"/>
      <c r="F48" s="46"/>
      <c r="G48" s="16"/>
      <c r="H48" s="16">
        <f t="shared" si="1"/>
        <v>0</v>
      </c>
      <c r="I48" s="16"/>
      <c r="J48" s="16" t="s">
        <v>57</v>
      </c>
      <c r="K48" s="46">
        <v>0.43518414530007699</v>
      </c>
      <c r="L48" s="16">
        <f t="shared" si="2"/>
        <v>0.42070839271573435</v>
      </c>
      <c r="M48" s="16"/>
      <c r="N48" s="46"/>
      <c r="O48" s="16"/>
      <c r="P48" s="48">
        <f t="shared" si="3"/>
        <v>0</v>
      </c>
    </row>
    <row r="49" spans="1:16" s="13" customFormat="1" x14ac:dyDescent="0.2">
      <c r="A49" s="16"/>
      <c r="B49" s="45" t="s">
        <v>58</v>
      </c>
      <c r="C49" s="46">
        <v>0.68444562266709497</v>
      </c>
      <c r="D49" s="16">
        <f t="shared" si="0"/>
        <v>0.66167855819986043</v>
      </c>
      <c r="E49" s="16"/>
      <c r="F49" s="46"/>
      <c r="G49" s="16"/>
      <c r="H49" s="16">
        <f t="shared" si="1"/>
        <v>0</v>
      </c>
      <c r="I49" s="16"/>
      <c r="J49" s="16" t="s">
        <v>58</v>
      </c>
      <c r="K49" s="46">
        <v>0.46640239806039402</v>
      </c>
      <c r="L49" s="16">
        <f t="shared" si="2"/>
        <v>0.45088821678338331</v>
      </c>
      <c r="M49" s="16"/>
      <c r="N49" s="46"/>
      <c r="O49" s="16"/>
      <c r="P49" s="48">
        <f t="shared" si="3"/>
        <v>0</v>
      </c>
    </row>
    <row r="50" spans="1:16" s="13" customFormat="1" x14ac:dyDescent="0.2">
      <c r="A50" s="16"/>
      <c r="B50" s="45" t="s">
        <v>59</v>
      </c>
      <c r="C50" s="46">
        <v>0.68108261781019297</v>
      </c>
      <c r="D50" s="16">
        <f t="shared" si="0"/>
        <v>0.6584274186918555</v>
      </c>
      <c r="E50" s="16"/>
      <c r="F50" s="46"/>
      <c r="G50" s="16"/>
      <c r="H50" s="16">
        <f t="shared" si="1"/>
        <v>0</v>
      </c>
      <c r="I50" s="16"/>
      <c r="J50" s="16" t="s">
        <v>59</v>
      </c>
      <c r="K50" s="46">
        <v>1.37530461189702</v>
      </c>
      <c r="L50" s="16">
        <f t="shared" si="2"/>
        <v>1.3295571518736342</v>
      </c>
      <c r="M50" s="16"/>
      <c r="N50" s="46"/>
      <c r="O50" s="16"/>
      <c r="P50" s="48">
        <f t="shared" si="3"/>
        <v>0</v>
      </c>
    </row>
    <row r="51" spans="1:16" s="13" customFormat="1" x14ac:dyDescent="0.2">
      <c r="A51" s="16"/>
      <c r="B51" s="45" t="s">
        <v>60</v>
      </c>
      <c r="C51" s="46">
        <v>0</v>
      </c>
      <c r="D51" s="16">
        <f t="shared" si="0"/>
        <v>0</v>
      </c>
      <c r="E51" s="16"/>
      <c r="F51" s="46"/>
      <c r="G51" s="16"/>
      <c r="H51" s="16">
        <f t="shared" si="1"/>
        <v>0</v>
      </c>
      <c r="I51" s="16"/>
      <c r="J51" s="16" t="s">
        <v>60</v>
      </c>
      <c r="K51" s="46">
        <v>0</v>
      </c>
      <c r="L51" s="16">
        <f t="shared" si="2"/>
        <v>0</v>
      </c>
      <c r="M51" s="16"/>
      <c r="N51" s="46"/>
      <c r="O51" s="16"/>
      <c r="P51" s="48">
        <f t="shared" si="3"/>
        <v>0</v>
      </c>
    </row>
    <row r="52" spans="1:16" s="13" customFormat="1" x14ac:dyDescent="0.2">
      <c r="A52" s="16"/>
      <c r="B52" s="45" t="s">
        <v>61</v>
      </c>
      <c r="C52" s="46">
        <v>0.60140085323259995</v>
      </c>
      <c r="D52" s="16">
        <f t="shared" si="0"/>
        <v>0.58139614936315009</v>
      </c>
      <c r="E52" s="16"/>
      <c r="F52" s="46"/>
      <c r="G52" s="16"/>
      <c r="H52" s="16">
        <f t="shared" si="1"/>
        <v>0</v>
      </c>
      <c r="I52" s="16"/>
      <c r="J52" s="16" t="s">
        <v>61</v>
      </c>
      <c r="K52" s="46">
        <v>0.57182628062556295</v>
      </c>
      <c r="L52" s="16">
        <f t="shared" si="2"/>
        <v>0.55280533087599715</v>
      </c>
      <c r="M52" s="16"/>
      <c r="N52" s="46"/>
      <c r="O52" s="16"/>
      <c r="P52" s="48">
        <f t="shared" si="3"/>
        <v>0</v>
      </c>
    </row>
    <row r="53" spans="1:16" s="13" customFormat="1" x14ac:dyDescent="0.2">
      <c r="A53" s="16"/>
      <c r="B53" s="45" t="s">
        <v>62</v>
      </c>
      <c r="C53" s="46">
        <v>1.3938987758922701</v>
      </c>
      <c r="D53" s="16">
        <f t="shared" si="0"/>
        <v>1.3475328086911413</v>
      </c>
      <c r="E53" s="16"/>
      <c r="F53" s="46"/>
      <c r="G53" s="16"/>
      <c r="H53" s="16">
        <f t="shared" si="1"/>
        <v>0</v>
      </c>
      <c r="I53" s="16"/>
      <c r="J53" s="16" t="s">
        <v>62</v>
      </c>
      <c r="K53" s="46">
        <v>1.2672423908569499</v>
      </c>
      <c r="L53" s="16">
        <f t="shared" si="2"/>
        <v>1.2250894597068802</v>
      </c>
      <c r="M53" s="16"/>
      <c r="N53" s="46"/>
      <c r="O53" s="16"/>
      <c r="P53" s="48">
        <f t="shared" si="3"/>
        <v>0</v>
      </c>
    </row>
    <row r="54" spans="1:16" s="13" customFormat="1" x14ac:dyDescent="0.2">
      <c r="A54" s="16"/>
      <c r="B54" s="45" t="s">
        <v>63</v>
      </c>
      <c r="C54" s="46">
        <v>0</v>
      </c>
      <c r="D54" s="16">
        <f t="shared" si="0"/>
        <v>0</v>
      </c>
      <c r="E54" s="16"/>
      <c r="F54" s="46"/>
      <c r="G54" s="16"/>
      <c r="H54" s="16">
        <f t="shared" si="1"/>
        <v>0</v>
      </c>
      <c r="I54" s="16"/>
      <c r="J54" s="16" t="s">
        <v>63</v>
      </c>
      <c r="K54" s="46">
        <v>0</v>
      </c>
      <c r="L54" s="16">
        <f t="shared" si="2"/>
        <v>0</v>
      </c>
      <c r="M54" s="16"/>
      <c r="N54" s="46"/>
      <c r="O54" s="16"/>
      <c r="P54" s="48">
        <f t="shared" si="3"/>
        <v>0</v>
      </c>
    </row>
    <row r="55" spans="1:16" s="13" customFormat="1" x14ac:dyDescent="0.2">
      <c r="A55" s="16"/>
      <c r="B55" s="45" t="s">
        <v>64</v>
      </c>
      <c r="C55" s="46">
        <v>1.5329968313313101E-2</v>
      </c>
      <c r="D55" s="16">
        <f t="shared" si="0"/>
        <v>1.482003974439358E-2</v>
      </c>
      <c r="E55" s="16"/>
      <c r="F55" s="46">
        <v>1.14532707600865E-2</v>
      </c>
      <c r="G55" s="16"/>
      <c r="H55" s="16">
        <f t="shared" si="1"/>
        <v>1.1072294762695382E-2</v>
      </c>
      <c r="I55" s="16"/>
      <c r="J55" s="16" t="s">
        <v>64</v>
      </c>
      <c r="K55" s="46">
        <v>2.7188062682844301E-2</v>
      </c>
      <c r="L55" s="16">
        <f t="shared" si="2"/>
        <v>2.6283692261966324E-2</v>
      </c>
      <c r="M55" s="16"/>
      <c r="N55" s="46">
        <v>2.7019812463575599E-2</v>
      </c>
      <c r="O55" s="16"/>
      <c r="P55" s="48">
        <f t="shared" si="3"/>
        <v>2.6121038635709335E-2</v>
      </c>
    </row>
    <row r="56" spans="1:16" s="13" customFormat="1" x14ac:dyDescent="0.2">
      <c r="A56" s="16"/>
      <c r="B56" s="45" t="s">
        <v>65</v>
      </c>
      <c r="C56" s="13">
        <v>2.6296925978912599E-2</v>
      </c>
      <c r="D56" s="16">
        <f t="shared" si="0"/>
        <v>2.5422197893547667E-2</v>
      </c>
      <c r="F56" s="50">
        <v>0.10456067245329299</v>
      </c>
      <c r="H56" s="16">
        <f>F56/$C$41</f>
        <v>0.10108261737975011</v>
      </c>
      <c r="I56" s="16"/>
      <c r="J56" s="16" t="s">
        <v>65</v>
      </c>
      <c r="K56" s="46">
        <v>0.27115378720203698</v>
      </c>
      <c r="L56" s="16">
        <f t="shared" si="2"/>
        <v>0.26213426023113223</v>
      </c>
      <c r="M56" s="16"/>
      <c r="N56" s="46">
        <v>0.38568049977963598</v>
      </c>
      <c r="O56" s="16"/>
      <c r="P56" s="48">
        <f t="shared" si="3"/>
        <v>0.37285141225034213</v>
      </c>
    </row>
    <row r="57" spans="1:16" s="13" customFormat="1" x14ac:dyDescent="0.2">
      <c r="A57" s="16"/>
      <c r="B57" s="45" t="s">
        <v>66</v>
      </c>
      <c r="C57" s="46">
        <v>8.4882292651521501E-3</v>
      </c>
      <c r="D57" s="16">
        <f>C57/$C$41</f>
        <v>8.2058809580078419E-3</v>
      </c>
      <c r="E57" s="16"/>
      <c r="F57" s="46">
        <v>1.31620780889194E-2</v>
      </c>
      <c r="G57" s="16"/>
      <c r="H57" s="16">
        <f>F57/$C$41</f>
        <v>1.2724261160226799E-2</v>
      </c>
      <c r="I57" s="16"/>
      <c r="J57" s="16" t="s">
        <v>66</v>
      </c>
      <c r="K57" s="46">
        <v>1.04075029274772E-2</v>
      </c>
      <c r="L57" s="16">
        <f t="shared" si="2"/>
        <v>1.0061312839841774E-2</v>
      </c>
      <c r="M57" s="16"/>
      <c r="N57" s="46">
        <v>1.3407688340306201E-2</v>
      </c>
      <c r="O57" s="16"/>
      <c r="P57" s="48">
        <f t="shared" si="3"/>
        <v>1.2961701552326097E-2</v>
      </c>
    </row>
    <row r="58" spans="1:16" s="13" customFormat="1" x14ac:dyDescent="0.2">
      <c r="A58" s="16"/>
      <c r="B58" s="45" t="s">
        <v>3</v>
      </c>
      <c r="C58" s="46">
        <v>1.13921964231908E-2</v>
      </c>
      <c r="D58" s="16">
        <f>C58/$C$41</f>
        <v>1.1013251972674042E-2</v>
      </c>
      <c r="E58" s="16"/>
      <c r="F58" s="46">
        <v>1.11272346673964E-2</v>
      </c>
      <c r="G58" s="16"/>
      <c r="H58" s="16">
        <f>F58/$C$41</f>
        <v>1.0757103775145988E-2</v>
      </c>
      <c r="I58" s="16"/>
      <c r="J58" s="16" t="s">
        <v>3</v>
      </c>
      <c r="K58" s="46">
        <v>9.3202611043689595E-3</v>
      </c>
      <c r="L58" s="16">
        <f t="shared" si="2"/>
        <v>9.0102364970265063E-3</v>
      </c>
      <c r="M58" s="16"/>
      <c r="N58" s="46">
        <v>1.29688057763797E-2</v>
      </c>
      <c r="O58" s="16"/>
      <c r="P58" s="48">
        <f t="shared" si="3"/>
        <v>1.2537417763372433E-2</v>
      </c>
    </row>
    <row r="59" spans="1:16" s="13" customFormat="1" x14ac:dyDescent="0.2">
      <c r="A59" s="16"/>
      <c r="B59" s="45" t="s">
        <v>67</v>
      </c>
      <c r="C59" s="46">
        <v>0.34456053932626501</v>
      </c>
      <c r="D59" s="16">
        <f>C59/$C$41</f>
        <v>0.33309924605195373</v>
      </c>
      <c r="E59" s="16"/>
      <c r="F59" s="46">
        <v>0.34284064245273699</v>
      </c>
      <c r="G59" s="16"/>
      <c r="H59" s="16">
        <f>F59/$C$41</f>
        <v>0.33143655898691865</v>
      </c>
      <c r="I59" s="16"/>
      <c r="J59" s="16" t="s">
        <v>67</v>
      </c>
      <c r="K59" s="46">
        <v>0.37741639543059602</v>
      </c>
      <c r="L59" s="16">
        <f t="shared" si="2"/>
        <v>0.36486220102684425</v>
      </c>
      <c r="M59" s="16"/>
      <c r="N59" s="46">
        <v>0.16719334598140201</v>
      </c>
      <c r="O59" s="16"/>
      <c r="P59" s="48">
        <f t="shared" si="3"/>
        <v>0.1616319082858575</v>
      </c>
    </row>
    <row r="60" spans="1:16" s="13" customFormat="1" x14ac:dyDescent="0.2">
      <c r="A60" s="16"/>
      <c r="B60" s="45"/>
      <c r="C60" s="46"/>
      <c r="D60" s="16"/>
      <c r="E60" s="16"/>
      <c r="F60" s="16"/>
      <c r="G60" s="16"/>
      <c r="H60" s="16"/>
      <c r="I60" s="16"/>
      <c r="J60" s="16"/>
      <c r="K60" s="16"/>
      <c r="L60" s="16"/>
      <c r="M60" s="16"/>
      <c r="N60" s="16"/>
      <c r="O60" s="16"/>
      <c r="P60" s="48"/>
    </row>
    <row r="61" spans="1:16" s="13" customFormat="1" x14ac:dyDescent="0.2">
      <c r="A61" s="16"/>
      <c r="B61" s="45"/>
      <c r="C61" s="16" t="s">
        <v>68</v>
      </c>
      <c r="D61" s="51" t="str">
        <f>IF(D62=0,(((D45+IF(D12="female",D56,0)-IF(D13="yes",D59,0)-IF(D7="*1/*1 (wild type)",0,IF(D7="*1/*2",D46,IF(D7="*1/*3",D47,IF(D7="*2/*2",D48,IF(D7="*2/*3",D49,IF(D7="*3/*3",D50))))))-IF(D8="GG (wild type)",0,IF(D8="AG (heterozygous)",D52,IF(D8="AA (homozygous)",D53)))))-D55*H9+D58*H10+D57*H11)^2,"ERROR")</f>
        <v>ERROR</v>
      </c>
      <c r="E61" s="16" t="s">
        <v>69</v>
      </c>
      <c r="F61" s="47" t="s">
        <v>70</v>
      </c>
      <c r="G61" s="16"/>
      <c r="H61" s="16" t="str">
        <f>IF(H62=0,(((H45+IF(D12="female",H56,0)-IF(D13="yes",H59,0)-H55*H9+H58*H10+H57*H11)^2)),"ERROR")</f>
        <v>ERROR</v>
      </c>
      <c r="I61" s="16" t="s">
        <v>69</v>
      </c>
      <c r="J61" s="47" t="s">
        <v>71</v>
      </c>
      <c r="K61" s="16" t="str">
        <f>IF(K62=0,(((L45+IF(D12="female",L56,0)-IF(D13="yes",L59,0)-IF(D7="*1/*1 (wild type)",0,IF(D7="*1/*2",L46,IF(D7="*1/*3",L47,IF(D7="*2/*2",L48,IF(D7="*2/*3",L49,IF(D7="*3/*3",L50))))))-IF(D8="GG (wild type)",0,IF(D8="AG (heterozygous)",L52,IF(D8="AA (homozygous)",L53)))-L55*H9+L58*H10+L57*H11)^2)),"ERROR")</f>
        <v>ERROR</v>
      </c>
      <c r="L61" s="16"/>
      <c r="M61" s="16"/>
      <c r="N61" s="16"/>
      <c r="O61" s="47" t="s">
        <v>72</v>
      </c>
      <c r="P61" s="48" t="str">
        <f>IF(P62=0,(((P45+IF(D12="female",P56,0)-IF(D13="yes",P59,0)-P55*H9+P58*H10+P57*H11)^2)),"ERROR")</f>
        <v>ERROR</v>
      </c>
    </row>
    <row r="62" spans="1:16" s="13" customFormat="1" x14ac:dyDescent="0.2">
      <c r="A62" s="16"/>
      <c r="B62" s="45"/>
      <c r="C62" s="16" t="s">
        <v>73</v>
      </c>
      <c r="D62" s="16">
        <f>COUNTIF(E7:E13,"Error")</f>
        <v>7</v>
      </c>
      <c r="E62" s="16"/>
      <c r="F62" s="47" t="s">
        <v>73</v>
      </c>
      <c r="G62" s="16"/>
      <c r="H62" s="16">
        <f>COUNTIF(E9:E13,"Error")</f>
        <v>5</v>
      </c>
      <c r="I62" s="16"/>
      <c r="J62" s="47" t="s">
        <v>73</v>
      </c>
      <c r="K62" s="16">
        <f>COUNTIF(E7:E13,"Error")</f>
        <v>7</v>
      </c>
      <c r="L62" s="16"/>
      <c r="M62" s="16"/>
      <c r="N62" s="16"/>
      <c r="O62" s="47" t="s">
        <v>73</v>
      </c>
      <c r="P62" s="48">
        <f>COUNTIF(E9:E13,"Error")</f>
        <v>5</v>
      </c>
    </row>
    <row r="63" spans="1:16" s="13" customFormat="1" x14ac:dyDescent="0.2">
      <c r="A63" s="16"/>
      <c r="B63" s="45"/>
      <c r="C63" s="16" t="s">
        <v>74</v>
      </c>
      <c r="D63" s="16" t="str">
        <f>IF(D64="Error","ERROR",IF(D64&lt;1.05,"3-3-3",IF(AND(D64&gt;1.04, D64&lt;1.32),"6-3-3",IF(AND(D64&gt;1.31,D64&lt;1.62),"6-6-3",IF(AND(D64&gt;1.61,D64&lt;1.86),"6-6-6",IF(AND(D64&gt;1.85,D64&lt;2.93),"9-6-6",IF(D64&gt;2.92,"9-9-6")))))))</f>
        <v>ERROR</v>
      </c>
      <c r="E63" s="16"/>
      <c r="F63" s="47" t="s">
        <v>74</v>
      </c>
      <c r="G63" s="16"/>
      <c r="H63" s="16" t="str">
        <f>IF(H64="Error","ERROR",IF(H64&lt;1.05,"3-3-3",IF(AND(H64&gt;1.04,H64&lt;1.32),"6-3-3",IF(AND(H64&gt;1.31,H64&lt;1.62),"6-6-3",IF(AND(H64&gt;1.61,H64&lt;1.86),"6-6-6",IF(AND(H64&gt;1.85),"9-6-6"))))))</f>
        <v>ERROR</v>
      </c>
      <c r="I63" s="16"/>
      <c r="J63" s="47" t="s">
        <v>74</v>
      </c>
      <c r="K63" s="16" t="str">
        <f>IF(K64="Error","ERROR",IF(K64&lt;2,K117,IF(AND(K64&gt;1.99,K64&lt;3.75),K118,IF(K64&gt;3.74,K119,"ERROR"))))</f>
        <v>ERROR</v>
      </c>
      <c r="L63" s="16"/>
      <c r="M63" s="16"/>
      <c r="N63" s="16"/>
      <c r="O63" s="47" t="s">
        <v>74</v>
      </c>
      <c r="P63" s="48" t="str">
        <f>IF(P64="Error","ERROR",IF(P64&lt;2,P117,IF(AND(P64&gt;1.99,P64&lt;3.75),P118,IF(P64&gt;3.74,P119,"ERROR2"))))</f>
        <v>ERROR</v>
      </c>
    </row>
    <row r="64" spans="1:16" s="13" customFormat="1" ht="13.5" thickBot="1" x14ac:dyDescent="0.25">
      <c r="A64" s="16"/>
      <c r="B64" s="52"/>
      <c r="C64" s="53" t="s">
        <v>75</v>
      </c>
      <c r="D64" s="53" t="str">
        <f>IF(D61="ERROR","ERROR",D61/7)</f>
        <v>ERROR</v>
      </c>
      <c r="E64" s="53" t="s">
        <v>76</v>
      </c>
      <c r="F64" s="54" t="s">
        <v>77</v>
      </c>
      <c r="G64" s="53"/>
      <c r="H64" s="53" t="str">
        <f>IF(H61="ERROR","ERROR",H61/7)</f>
        <v>ERROR</v>
      </c>
      <c r="I64" s="53"/>
      <c r="J64" s="53" t="s">
        <v>78</v>
      </c>
      <c r="K64" s="53" t="str">
        <f>IF(K61="ERROR","ERROR",K61/7)</f>
        <v>ERROR</v>
      </c>
      <c r="L64" s="53"/>
      <c r="M64" s="53"/>
      <c r="N64" s="53"/>
      <c r="O64" s="54" t="s">
        <v>79</v>
      </c>
      <c r="P64" s="55" t="str">
        <f>IF(P61="ERROR","ERROR",P61/7)</f>
        <v>ERROR</v>
      </c>
    </row>
    <row r="65" spans="1:16" s="13" customFormat="1" x14ac:dyDescent="0.2">
      <c r="A65" s="16"/>
      <c r="B65" s="16"/>
      <c r="C65" s="16"/>
      <c r="D65" s="16"/>
      <c r="E65" s="16"/>
      <c r="F65" s="47"/>
      <c r="G65" s="16"/>
      <c r="H65" s="16"/>
      <c r="I65" s="16"/>
      <c r="J65" s="16"/>
      <c r="K65" s="16"/>
      <c r="L65" s="16"/>
      <c r="O65" s="16"/>
      <c r="P65" s="16"/>
    </row>
    <row r="66" spans="1:16" s="13" customFormat="1" x14ac:dyDescent="0.2">
      <c r="A66" s="16"/>
      <c r="B66" s="16"/>
      <c r="C66" s="16"/>
      <c r="D66" s="16"/>
      <c r="E66" s="16"/>
      <c r="F66" s="47"/>
      <c r="G66" s="16"/>
      <c r="H66" s="16"/>
      <c r="I66" s="16"/>
      <c r="J66" s="16"/>
      <c r="K66" s="16"/>
      <c r="L66" s="16"/>
      <c r="O66" s="16"/>
      <c r="P66" s="16"/>
    </row>
    <row r="67" spans="1:16" s="13" customFormat="1" ht="13.5" thickBot="1" x14ac:dyDescent="0.25">
      <c r="B67" s="16"/>
      <c r="C67" s="16"/>
      <c r="D67" s="16"/>
      <c r="E67" s="16"/>
      <c r="F67" s="16"/>
      <c r="G67" s="16"/>
      <c r="H67" s="16"/>
      <c r="I67" s="16"/>
      <c r="J67" s="16"/>
      <c r="K67" s="16"/>
      <c r="L67" s="16"/>
      <c r="M67" s="16"/>
      <c r="N67" s="16"/>
      <c r="O67" s="16"/>
      <c r="P67" s="16"/>
    </row>
    <row r="68" spans="1:16" s="13" customFormat="1" x14ac:dyDescent="0.2">
      <c r="A68" s="16"/>
      <c r="B68" s="42" t="s">
        <v>80</v>
      </c>
      <c r="C68" s="43"/>
      <c r="D68" s="43"/>
      <c r="E68" s="43"/>
      <c r="F68" s="43"/>
      <c r="G68" s="43"/>
      <c r="H68" s="43"/>
      <c r="I68" s="43"/>
      <c r="J68" s="43"/>
      <c r="K68" s="43"/>
      <c r="L68" s="44"/>
      <c r="M68" s="16"/>
      <c r="N68" s="16"/>
      <c r="O68" s="16"/>
      <c r="P68" s="16"/>
    </row>
    <row r="69" spans="1:16" s="13" customFormat="1" x14ac:dyDescent="0.2">
      <c r="A69" s="16"/>
      <c r="B69" s="45"/>
      <c r="C69" s="46" t="s">
        <v>46</v>
      </c>
      <c r="D69" s="16" t="s">
        <v>47</v>
      </c>
      <c r="E69" s="16"/>
      <c r="F69" s="47"/>
      <c r="G69" s="16"/>
      <c r="H69" s="16"/>
      <c r="I69" s="16"/>
      <c r="J69" s="16"/>
      <c r="K69" s="16" t="s">
        <v>50</v>
      </c>
      <c r="L69" s="48" t="s">
        <v>51</v>
      </c>
      <c r="M69" s="16"/>
      <c r="N69" s="16"/>
      <c r="O69" s="16"/>
      <c r="P69" s="16"/>
    </row>
    <row r="70" spans="1:16" s="13" customFormat="1" x14ac:dyDescent="0.2">
      <c r="A70" s="16"/>
      <c r="B70" s="45" t="s">
        <v>54</v>
      </c>
      <c r="C70" s="46">
        <v>2.9683334672755102</v>
      </c>
      <c r="D70" s="16">
        <f>C70/$C$41</f>
        <v>2.869596274470668</v>
      </c>
      <c r="E70" s="16"/>
      <c r="F70" s="46"/>
      <c r="G70" s="16"/>
      <c r="H70" s="16"/>
      <c r="I70" s="16"/>
      <c r="J70" s="16" t="s">
        <v>54</v>
      </c>
      <c r="K70" s="46">
        <v>3.8356760624206099</v>
      </c>
      <c r="L70" s="48">
        <f>K70/$C$41</f>
        <v>3.7080880097009961</v>
      </c>
      <c r="M70" s="16"/>
      <c r="N70" s="46"/>
      <c r="O70" s="16"/>
      <c r="P70" s="16"/>
    </row>
    <row r="71" spans="1:16" s="13" customFormat="1" x14ac:dyDescent="0.2">
      <c r="A71" s="16"/>
      <c r="B71" s="45" t="s">
        <v>61</v>
      </c>
      <c r="C71" s="46">
        <v>0.59135255425630495</v>
      </c>
      <c r="D71" s="16">
        <f t="shared" ref="D71:D78" si="4">C71/$C$41</f>
        <v>0.57168209208992549</v>
      </c>
      <c r="E71" s="16"/>
      <c r="F71" s="46"/>
      <c r="G71" s="16"/>
      <c r="H71" s="16"/>
      <c r="I71" s="16"/>
      <c r="J71" s="16" t="s">
        <v>61</v>
      </c>
      <c r="K71" s="46">
        <v>0.56713220172876599</v>
      </c>
      <c r="L71" s="48">
        <f t="shared" ref="L71:L78" si="5">K71/$C$41</f>
        <v>0.54826739352400422</v>
      </c>
      <c r="M71" s="16"/>
      <c r="N71" s="46"/>
      <c r="O71" s="16"/>
      <c r="P71" s="16"/>
    </row>
    <row r="72" spans="1:16" s="13" customFormat="1" x14ac:dyDescent="0.2">
      <c r="A72" s="16"/>
      <c r="B72" s="45" t="s">
        <v>62</v>
      </c>
      <c r="C72" s="46">
        <v>1.3866952597240101</v>
      </c>
      <c r="D72" s="16">
        <f t="shared" si="4"/>
        <v>1.340568906761854</v>
      </c>
      <c r="E72" s="16"/>
      <c r="F72" s="46"/>
      <c r="G72" s="16"/>
      <c r="H72" s="16"/>
      <c r="I72" s="16"/>
      <c r="J72" s="16" t="s">
        <v>62</v>
      </c>
      <c r="K72" s="46">
        <v>1.25979298642635</v>
      </c>
      <c r="L72" s="48">
        <f t="shared" si="5"/>
        <v>1.2178878486221609</v>
      </c>
      <c r="M72" s="16"/>
      <c r="N72" s="46"/>
      <c r="O72" s="16"/>
      <c r="P72" s="16"/>
    </row>
    <row r="73" spans="1:16" s="13" customFormat="1" x14ac:dyDescent="0.2">
      <c r="A73" s="16"/>
      <c r="B73" s="45" t="s">
        <v>63</v>
      </c>
      <c r="C73" s="46">
        <v>0</v>
      </c>
      <c r="D73" s="16">
        <f t="shared" si="4"/>
        <v>0</v>
      </c>
      <c r="E73" s="16"/>
      <c r="F73" s="46"/>
      <c r="G73" s="16"/>
      <c r="H73" s="16"/>
      <c r="I73" s="16"/>
      <c r="J73" s="16" t="s">
        <v>63</v>
      </c>
      <c r="K73" s="46">
        <v>0</v>
      </c>
      <c r="L73" s="48">
        <f t="shared" si="5"/>
        <v>0</v>
      </c>
      <c r="M73" s="16"/>
      <c r="N73" s="46"/>
      <c r="O73" s="16"/>
      <c r="P73" s="16"/>
    </row>
    <row r="74" spans="1:16" s="13" customFormat="1" x14ac:dyDescent="0.2">
      <c r="A74" s="16"/>
      <c r="B74" s="45" t="s">
        <v>64</v>
      </c>
      <c r="C74" s="46">
        <v>1.5938451281346799E-2</v>
      </c>
      <c r="D74" s="16">
        <f t="shared" si="4"/>
        <v>1.5408282432554562E-2</v>
      </c>
      <c r="E74" s="16"/>
      <c r="F74" s="46"/>
      <c r="G74" s="16"/>
      <c r="H74" s="16"/>
      <c r="I74" s="16"/>
      <c r="J74" s="16" t="s">
        <v>64</v>
      </c>
      <c r="K74" s="46">
        <v>2.7283257859763901E-2</v>
      </c>
      <c r="L74" s="48">
        <f t="shared" si="5"/>
        <v>2.6375720913075659E-2</v>
      </c>
      <c r="M74" s="16"/>
      <c r="N74" s="46"/>
      <c r="O74" s="16"/>
      <c r="P74" s="16"/>
    </row>
    <row r="75" spans="1:16" s="13" customFormat="1" x14ac:dyDescent="0.2">
      <c r="A75" s="16"/>
      <c r="B75" s="45" t="s">
        <v>66</v>
      </c>
      <c r="C75" s="46">
        <v>9.2719668863337698E-3</v>
      </c>
      <c r="D75" s="16">
        <f t="shared" si="4"/>
        <v>8.9635487142419625E-3</v>
      </c>
      <c r="E75" s="16"/>
      <c r="F75" s="46"/>
      <c r="G75" s="16"/>
      <c r="H75" s="16"/>
      <c r="I75" s="16"/>
      <c r="J75" s="16" t="s">
        <v>65</v>
      </c>
      <c r="K75" s="46">
        <v>0.27833876372094002</v>
      </c>
      <c r="L75" s="48">
        <f t="shared" si="5"/>
        <v>0.2690802392048921</v>
      </c>
      <c r="M75" s="16"/>
      <c r="N75" s="46"/>
      <c r="O75" s="16"/>
      <c r="P75" s="16"/>
    </row>
    <row r="76" spans="1:16" s="13" customFormat="1" x14ac:dyDescent="0.2">
      <c r="A76" s="16"/>
      <c r="B76" s="45" t="s">
        <v>3</v>
      </c>
      <c r="C76" s="46">
        <v>1.00894617100549E-2</v>
      </c>
      <c r="D76" s="16">
        <f t="shared" si="4"/>
        <v>9.7538507899391311E-3</v>
      </c>
      <c r="E76" s="16"/>
      <c r="F76" s="46"/>
      <c r="G76" s="16"/>
      <c r="H76" s="16"/>
      <c r="I76" s="16"/>
      <c r="J76" s="16" t="s">
        <v>66</v>
      </c>
      <c r="K76" s="46">
        <v>1.02681257158313E-2</v>
      </c>
      <c r="L76" s="48">
        <f t="shared" si="5"/>
        <v>9.9265718036022424E-3</v>
      </c>
      <c r="M76" s="16"/>
      <c r="N76" s="46"/>
      <c r="O76" s="16"/>
      <c r="P76" s="16"/>
    </row>
    <row r="77" spans="1:16" s="13" customFormat="1" x14ac:dyDescent="0.2">
      <c r="A77" s="16"/>
      <c r="B77" s="45" t="s">
        <v>65</v>
      </c>
      <c r="C77" s="46">
        <v>3.2413943434086698E-2</v>
      </c>
      <c r="D77" s="16">
        <f t="shared" si="4"/>
        <v>3.1335741871593714E-2</v>
      </c>
      <c r="E77" s="16"/>
      <c r="F77" s="46"/>
      <c r="G77" s="16"/>
      <c r="H77" s="16"/>
      <c r="I77" s="16"/>
      <c r="J77" s="16" t="s">
        <v>3</v>
      </c>
      <c r="K77" s="46">
        <v>1.04480950458599E-2</v>
      </c>
      <c r="L77" s="48">
        <f>K77/$C$41</f>
        <v>1.0100554721849991E-2</v>
      </c>
      <c r="M77" s="16"/>
      <c r="N77" s="46"/>
      <c r="O77" s="16"/>
      <c r="P77" s="16"/>
    </row>
    <row r="78" spans="1:16" s="13" customFormat="1" x14ac:dyDescent="0.2">
      <c r="A78" s="16"/>
      <c r="B78" s="45" t="s">
        <v>67</v>
      </c>
      <c r="C78" s="46">
        <v>0.38552444403831898</v>
      </c>
      <c r="D78" s="16">
        <f t="shared" si="4"/>
        <v>0.37270054747088588</v>
      </c>
      <c r="E78" s="16"/>
      <c r="F78" s="46"/>
      <c r="G78" s="16"/>
      <c r="H78" s="16"/>
      <c r="I78" s="16"/>
      <c r="J78" s="16" t="s">
        <v>67</v>
      </c>
      <c r="K78" s="46">
        <v>0.29201281880067398</v>
      </c>
      <c r="L78" s="48">
        <f t="shared" si="5"/>
        <v>0.2822994472036911</v>
      </c>
      <c r="M78" s="16"/>
      <c r="N78" s="46"/>
      <c r="O78" s="16"/>
      <c r="P78" s="16"/>
    </row>
    <row r="79" spans="1:16" s="13" customFormat="1" x14ac:dyDescent="0.2">
      <c r="A79" s="16"/>
      <c r="B79" s="45"/>
      <c r="C79" s="46"/>
      <c r="D79" s="16"/>
      <c r="E79" s="16"/>
      <c r="F79" s="16"/>
      <c r="G79" s="16"/>
      <c r="H79" s="16"/>
      <c r="I79" s="16"/>
      <c r="L79" s="48"/>
      <c r="M79" s="16"/>
      <c r="N79" s="46"/>
      <c r="O79" s="16"/>
      <c r="P79" s="16"/>
    </row>
    <row r="80" spans="1:16" s="13" customFormat="1" x14ac:dyDescent="0.2">
      <c r="A80" s="16"/>
      <c r="B80" s="45"/>
      <c r="C80" s="46"/>
      <c r="D80" s="16"/>
      <c r="E80" s="16"/>
      <c r="F80" s="16"/>
      <c r="G80" s="16"/>
      <c r="H80" s="16"/>
      <c r="I80" s="16"/>
      <c r="J80" s="16"/>
      <c r="K80" s="16"/>
      <c r="L80" s="48"/>
      <c r="M80" s="16"/>
      <c r="N80" s="16"/>
      <c r="O80" s="16"/>
      <c r="P80" s="16"/>
    </row>
    <row r="81" spans="1:16" s="13" customFormat="1" x14ac:dyDescent="0.2">
      <c r="A81" s="16"/>
      <c r="B81" s="45"/>
      <c r="C81" s="16" t="s">
        <v>68</v>
      </c>
      <c r="D81" s="51" t="str">
        <f>IF(D82=0,(((D70+IF(D12="female",D77,0)-IF(D13="yes",D78,0)-IF(D8="GG (wild type)",0,IF(D8="AG (heterozygous)",D71,IF(D8="AA (homozygous)",D72)))))-D74*H9+D76*H10+D75*H11)^2,"ERROR")</f>
        <v>ERROR</v>
      </c>
      <c r="E81" s="16" t="s">
        <v>69</v>
      </c>
      <c r="F81" s="47"/>
      <c r="G81" s="16"/>
      <c r="H81" s="16"/>
      <c r="I81" s="16"/>
      <c r="J81" s="47" t="s">
        <v>71</v>
      </c>
      <c r="K81" s="16" t="str">
        <f>IF(K82=0,(((L70+IF(D12="female",L75)-IF(D13="yes",L78,0)-IF(D8="GG (wild type)",0,IF(D8="AG (heterozygous)",L71,IF(D8="AA (homozygous)",L72)))-L74*H9+L77*H10+L76*H11)^2)),"ERROR")</f>
        <v>ERROR</v>
      </c>
      <c r="L81" s="48"/>
      <c r="M81" s="16"/>
      <c r="N81" s="16"/>
      <c r="O81" s="47"/>
      <c r="P81" s="16"/>
    </row>
    <row r="82" spans="1:16" s="13" customFormat="1" x14ac:dyDescent="0.2">
      <c r="A82" s="16"/>
      <c r="B82" s="45"/>
      <c r="C82" s="16" t="s">
        <v>73</v>
      </c>
      <c r="D82" s="16">
        <f>COUNTIF(E7:E13,"Error")</f>
        <v>7</v>
      </c>
      <c r="E82" s="16"/>
      <c r="F82" s="47"/>
      <c r="G82" s="16"/>
      <c r="H82" s="16"/>
      <c r="I82" s="16"/>
      <c r="J82" s="47" t="s">
        <v>73</v>
      </c>
      <c r="K82" s="16">
        <f>COUNTIF(E7:E13,"Error")</f>
        <v>7</v>
      </c>
      <c r="L82" s="48"/>
      <c r="M82" s="16"/>
      <c r="N82" s="16"/>
      <c r="O82" s="47"/>
      <c r="P82" s="16"/>
    </row>
    <row r="83" spans="1:16" s="13" customFormat="1" x14ac:dyDescent="0.2">
      <c r="A83" s="16"/>
      <c r="B83" s="45"/>
      <c r="C83" s="16" t="s">
        <v>74</v>
      </c>
      <c r="D83" s="16" t="str">
        <f>IF(D84="Error","ERROR",IF(D84&lt;1.05,"3-3-3",IF(AND(D84&gt;1.04, D84&lt;1.32),"6-3-3",IF(AND(D84&gt;1.31,D84&lt;1.62),"6-6-3",IF(AND(D84&gt;1.61,D84&lt;1.86),"6-6-6",IF(AND(D84&gt;1.85,D84&lt;2.93),"9-6-6",IF(D84&gt;2.92,"9-9-6")))))))</f>
        <v>ERROR</v>
      </c>
      <c r="E83" s="16"/>
      <c r="F83" s="47"/>
      <c r="G83" s="16"/>
      <c r="H83" s="16"/>
      <c r="I83" s="16"/>
      <c r="J83" s="47" t="s">
        <v>74</v>
      </c>
      <c r="K83" s="16" t="str">
        <f>IF(K84="Error","ERROR",IF(K84&lt;2,K108,IF(AND(K84&gt;1.99,K84&lt;3.75),K109,IF(K84&gt;3.74,K110,"ERROR"))))</f>
        <v>ERROR</v>
      </c>
      <c r="L83" s="48"/>
      <c r="M83" s="16"/>
      <c r="N83" s="16"/>
      <c r="O83" s="47"/>
      <c r="P83" s="16"/>
    </row>
    <row r="84" spans="1:16" s="13" customFormat="1" ht="13.5" thickBot="1" x14ac:dyDescent="0.25">
      <c r="A84" s="16"/>
      <c r="B84" s="52"/>
      <c r="C84" s="53" t="s">
        <v>75</v>
      </c>
      <c r="D84" s="53" t="str">
        <f>IF(D81="ERROR","ERROR",D81/7)</f>
        <v>ERROR</v>
      </c>
      <c r="E84" s="53" t="s">
        <v>76</v>
      </c>
      <c r="F84" s="54"/>
      <c r="G84" s="53"/>
      <c r="H84" s="53"/>
      <c r="I84" s="53"/>
      <c r="J84" s="53" t="s">
        <v>78</v>
      </c>
      <c r="K84" s="53" t="str">
        <f>IF(K81="ERROR","ERROR",K81/7)</f>
        <v>ERROR</v>
      </c>
      <c r="L84" s="55"/>
      <c r="M84" s="16"/>
      <c r="N84" s="16"/>
      <c r="O84" s="16"/>
      <c r="P84" s="16"/>
    </row>
    <row r="85" spans="1:16" s="13" customFormat="1" x14ac:dyDescent="0.2"/>
    <row r="86" spans="1:16" s="13" customFormat="1" x14ac:dyDescent="0.2"/>
    <row r="87" spans="1:16" s="13" customFormat="1" x14ac:dyDescent="0.2"/>
    <row r="88" spans="1:16" s="13" customFormat="1" ht="13.5" thickBot="1" x14ac:dyDescent="0.25">
      <c r="B88" s="16"/>
      <c r="C88" s="16"/>
      <c r="D88" s="16"/>
      <c r="E88" s="16"/>
      <c r="F88" s="16"/>
      <c r="G88" s="16"/>
      <c r="H88" s="16"/>
      <c r="I88" s="16"/>
      <c r="J88" s="16"/>
      <c r="K88" s="16"/>
      <c r="L88" s="16"/>
      <c r="M88" s="16"/>
      <c r="N88" s="16"/>
      <c r="O88" s="16"/>
      <c r="P88" s="16"/>
    </row>
    <row r="89" spans="1:16" s="13" customFormat="1" x14ac:dyDescent="0.2">
      <c r="A89" s="16"/>
      <c r="B89" s="42" t="s">
        <v>81</v>
      </c>
      <c r="C89" s="43"/>
      <c r="D89" s="43"/>
      <c r="E89" s="43"/>
      <c r="F89" s="43"/>
      <c r="G89" s="43"/>
      <c r="H89" s="43"/>
      <c r="I89" s="43"/>
      <c r="J89" s="43"/>
      <c r="K89" s="43"/>
      <c r="L89" s="44"/>
      <c r="M89" s="16"/>
      <c r="N89" s="16"/>
      <c r="O89" s="16"/>
      <c r="P89" s="16"/>
    </row>
    <row r="90" spans="1:16" s="13" customFormat="1" x14ac:dyDescent="0.2">
      <c r="A90" s="16"/>
      <c r="B90" s="45"/>
      <c r="C90" s="46" t="s">
        <v>46</v>
      </c>
      <c r="D90" s="16" t="s">
        <v>47</v>
      </c>
      <c r="E90" s="16"/>
      <c r="F90" s="47"/>
      <c r="G90" s="16"/>
      <c r="H90" s="16"/>
      <c r="I90" s="16"/>
      <c r="J90" s="16"/>
      <c r="K90" s="16" t="s">
        <v>50</v>
      </c>
      <c r="L90" s="48" t="s">
        <v>51</v>
      </c>
      <c r="M90" s="16"/>
      <c r="N90" s="16"/>
      <c r="O90" s="16"/>
      <c r="P90" s="16"/>
    </row>
    <row r="91" spans="1:16" s="13" customFormat="1" x14ac:dyDescent="0.2">
      <c r="A91" s="16"/>
      <c r="B91" s="45" t="s">
        <v>54</v>
      </c>
      <c r="C91" s="46">
        <v>1.70711054263804</v>
      </c>
      <c r="D91" s="16">
        <f>C91/$C$41</f>
        <v>1.6503260524027363</v>
      </c>
      <c r="E91" s="16"/>
      <c r="F91" s="46"/>
      <c r="G91" s="16"/>
      <c r="H91" s="16"/>
      <c r="I91" s="16"/>
      <c r="J91" s="16" t="s">
        <v>54</v>
      </c>
      <c r="K91" s="46">
        <v>3.6887204242157998</v>
      </c>
      <c r="L91" s="48">
        <f>K91/$C$41</f>
        <v>3.566020631977413</v>
      </c>
      <c r="M91" s="16"/>
      <c r="N91" s="46"/>
      <c r="O91" s="16"/>
      <c r="P91" s="16"/>
    </row>
    <row r="92" spans="1:16" s="13" customFormat="1" x14ac:dyDescent="0.2">
      <c r="A92" s="16"/>
      <c r="B92" s="45" t="s">
        <v>55</v>
      </c>
      <c r="C92" s="46">
        <v>0.25808923400644301</v>
      </c>
      <c r="D92" s="16">
        <f t="shared" ref="D92:D102" si="6">C92/$C$41</f>
        <v>0.24950427994387339</v>
      </c>
      <c r="E92" s="16"/>
      <c r="F92" s="46"/>
      <c r="G92" s="16"/>
      <c r="H92" s="16"/>
      <c r="I92" s="16"/>
      <c r="J92" s="16" t="s">
        <v>55</v>
      </c>
      <c r="K92" s="46">
        <v>0.14351019701095999</v>
      </c>
      <c r="L92" s="48">
        <f t="shared" ref="L92:L102" si="7">K92/$C$41</f>
        <v>0.13873654400062693</v>
      </c>
      <c r="M92" s="16"/>
      <c r="N92" s="46"/>
      <c r="O92" s="16"/>
      <c r="P92" s="16"/>
    </row>
    <row r="93" spans="1:16" s="13" customFormat="1" x14ac:dyDescent="0.2">
      <c r="A93" s="16"/>
      <c r="B93" s="45" t="s">
        <v>56</v>
      </c>
      <c r="C93" s="46">
        <v>0.35600356998273502</v>
      </c>
      <c r="D93" s="16">
        <f t="shared" si="6"/>
        <v>0.34416164133283145</v>
      </c>
      <c r="E93" s="16"/>
      <c r="F93" s="46"/>
      <c r="G93" s="16"/>
      <c r="H93" s="16"/>
      <c r="I93" s="16"/>
      <c r="J93" s="49" t="s">
        <v>56</v>
      </c>
      <c r="K93" s="46">
        <v>0.506413594888388</v>
      </c>
      <c r="L93" s="48">
        <f t="shared" si="7"/>
        <v>0.48956850072739322</v>
      </c>
      <c r="M93" s="16"/>
      <c r="N93" s="46"/>
      <c r="O93" s="16"/>
      <c r="P93" s="16"/>
    </row>
    <row r="94" spans="1:16" s="13" customFormat="1" x14ac:dyDescent="0.2">
      <c r="A94" s="16"/>
      <c r="B94" s="45" t="s">
        <v>57</v>
      </c>
      <c r="C94" s="46">
        <v>0.56195672770045202</v>
      </c>
      <c r="D94" s="16">
        <f t="shared" si="6"/>
        <v>0.54326407393272502</v>
      </c>
      <c r="E94" s="16"/>
      <c r="F94" s="46"/>
      <c r="G94" s="16"/>
      <c r="H94" s="16"/>
      <c r="I94" s="16"/>
      <c r="J94" s="16" t="s">
        <v>57</v>
      </c>
      <c r="K94" s="46">
        <v>0.41770432034188199</v>
      </c>
      <c r="L94" s="48">
        <f t="shared" si="7"/>
        <v>0.40381000810651613</v>
      </c>
      <c r="M94" s="16"/>
      <c r="N94" s="46"/>
      <c r="O94" s="16"/>
      <c r="P94" s="16"/>
    </row>
    <row r="95" spans="1:16" s="13" customFormat="1" x14ac:dyDescent="0.2">
      <c r="A95" s="16"/>
      <c r="B95" s="45" t="s">
        <v>58</v>
      </c>
      <c r="C95" s="46">
        <v>0.53012890683327896</v>
      </c>
      <c r="D95" s="16">
        <f t="shared" si="6"/>
        <v>0.51249495813361978</v>
      </c>
      <c r="E95" s="16"/>
      <c r="F95" s="46"/>
      <c r="G95" s="16"/>
      <c r="H95" s="16"/>
      <c r="I95" s="16"/>
      <c r="J95" s="16" t="s">
        <v>58</v>
      </c>
      <c r="K95" s="46">
        <v>0.31238014055966301</v>
      </c>
      <c r="L95" s="48">
        <f t="shared" si="7"/>
        <v>0.30198928033223954</v>
      </c>
      <c r="M95" s="16"/>
      <c r="N95" s="46"/>
      <c r="O95" s="16"/>
      <c r="P95" s="16"/>
    </row>
    <row r="96" spans="1:16" s="13" customFormat="1" x14ac:dyDescent="0.2">
      <c r="A96" s="16"/>
      <c r="B96" s="45" t="s">
        <v>59</v>
      </c>
      <c r="C96" s="46">
        <v>0.56731924787509103</v>
      </c>
      <c r="D96" s="16">
        <f t="shared" si="6"/>
        <v>0.54844821785879205</v>
      </c>
      <c r="E96" s="16"/>
      <c r="F96" s="46"/>
      <c r="G96" s="16"/>
      <c r="H96" s="16"/>
      <c r="I96" s="16"/>
      <c r="J96" s="16" t="s">
        <v>59</v>
      </c>
      <c r="K96" s="46">
        <v>1.58508161528644</v>
      </c>
      <c r="L96" s="48">
        <f t="shared" si="7"/>
        <v>1.5323562356128422</v>
      </c>
      <c r="M96" s="16"/>
      <c r="N96" s="46"/>
      <c r="O96" s="16"/>
      <c r="P96" s="16"/>
    </row>
    <row r="97" spans="1:16" s="13" customFormat="1" x14ac:dyDescent="0.2">
      <c r="A97" s="16"/>
      <c r="B97" s="45" t="s">
        <v>60</v>
      </c>
      <c r="C97" s="46">
        <v>0</v>
      </c>
      <c r="D97" s="16">
        <f t="shared" si="6"/>
        <v>0</v>
      </c>
      <c r="E97" s="16"/>
      <c r="F97" s="46"/>
      <c r="G97" s="16"/>
      <c r="H97" s="16"/>
      <c r="I97" s="16"/>
      <c r="J97" s="16" t="s">
        <v>60</v>
      </c>
      <c r="K97" s="46">
        <v>0</v>
      </c>
      <c r="L97" s="48">
        <f t="shared" si="7"/>
        <v>0</v>
      </c>
      <c r="M97" s="16"/>
      <c r="N97" s="46"/>
      <c r="O97" s="16"/>
      <c r="P97" s="16"/>
    </row>
    <row r="98" spans="1:16" s="13" customFormat="1" x14ac:dyDescent="0.2">
      <c r="A98" s="16"/>
      <c r="B98" s="45" t="s">
        <v>64</v>
      </c>
      <c r="C98" s="46">
        <v>1.0984927055848401E-2</v>
      </c>
      <c r="D98" s="16">
        <f t="shared" si="6"/>
        <v>1.0619529814393602E-2</v>
      </c>
      <c r="E98" s="16"/>
      <c r="F98" s="46"/>
      <c r="G98" s="16"/>
      <c r="H98" s="16"/>
      <c r="I98" s="16"/>
      <c r="J98" s="16" t="s">
        <v>64</v>
      </c>
      <c r="K98" s="46">
        <v>2.82805548127519E-2</v>
      </c>
      <c r="L98" s="48">
        <f t="shared" si="7"/>
        <v>2.7339844267943215E-2</v>
      </c>
      <c r="M98" s="16"/>
      <c r="N98" s="46"/>
      <c r="O98" s="16"/>
      <c r="P98" s="16"/>
    </row>
    <row r="99" spans="1:16" s="13" customFormat="1" x14ac:dyDescent="0.2">
      <c r="A99" s="16"/>
      <c r="B99" s="45" t="s">
        <v>66</v>
      </c>
      <c r="C99" s="46">
        <v>1.21127487646004E-2</v>
      </c>
      <c r="D99" s="16">
        <f t="shared" si="6"/>
        <v>1.170983621338199E-2</v>
      </c>
      <c r="E99" s="16"/>
      <c r="F99" s="46"/>
      <c r="G99" s="16"/>
      <c r="H99" s="16"/>
      <c r="I99" s="16"/>
      <c r="J99" s="16" t="s">
        <v>65</v>
      </c>
      <c r="K99" s="46">
        <v>0.35712108186918501</v>
      </c>
      <c r="L99" s="48">
        <f t="shared" si="7"/>
        <v>0.34524198085040492</v>
      </c>
      <c r="M99" s="16"/>
      <c r="N99" s="46"/>
      <c r="O99" s="16"/>
      <c r="P99" s="16"/>
    </row>
    <row r="100" spans="1:16" s="13" customFormat="1" x14ac:dyDescent="0.2">
      <c r="A100" s="16"/>
      <c r="B100" s="45" t="s">
        <v>3</v>
      </c>
      <c r="C100" s="46">
        <v>1.1718709617050301E-2</v>
      </c>
      <c r="D100" s="16">
        <f t="shared" si="6"/>
        <v>1.132890419133286E-2</v>
      </c>
      <c r="E100" s="16"/>
      <c r="F100" s="46"/>
      <c r="G100" s="16"/>
      <c r="H100" s="16"/>
      <c r="I100" s="16"/>
      <c r="J100" s="16" t="s">
        <v>66</v>
      </c>
      <c r="K100" s="46">
        <v>1.2904312485249699E-2</v>
      </c>
      <c r="L100" s="48">
        <f t="shared" si="7"/>
        <v>1.2475069745538416E-2</v>
      </c>
      <c r="M100" s="16"/>
      <c r="N100" s="46"/>
      <c r="O100" s="16"/>
      <c r="P100" s="16"/>
    </row>
    <row r="101" spans="1:16" s="13" customFormat="1" x14ac:dyDescent="0.2">
      <c r="A101" s="16"/>
      <c r="B101" s="45" t="s">
        <v>65</v>
      </c>
      <c r="C101" s="46">
        <v>9.7247258748810197E-2</v>
      </c>
      <c r="D101" s="16">
        <f t="shared" si="6"/>
        <v>9.4012473492139967E-2</v>
      </c>
      <c r="E101" s="16"/>
      <c r="F101" s="16"/>
      <c r="G101" s="16"/>
      <c r="H101" s="16"/>
      <c r="I101" s="16"/>
      <c r="J101" s="16" t="s">
        <v>3</v>
      </c>
      <c r="K101" s="46">
        <v>8.3148321832452205E-3</v>
      </c>
      <c r="L101" s="48">
        <f t="shared" si="7"/>
        <v>8.0382516718343743E-3</v>
      </c>
      <c r="M101" s="16"/>
      <c r="N101" s="46"/>
      <c r="O101" s="16"/>
      <c r="P101" s="16"/>
    </row>
    <row r="102" spans="1:16" s="13" customFormat="1" x14ac:dyDescent="0.2">
      <c r="A102" s="16"/>
      <c r="B102" s="45" t="s">
        <v>67</v>
      </c>
      <c r="C102" s="46">
        <v>0.32536973065331698</v>
      </c>
      <c r="D102" s="16">
        <f t="shared" si="6"/>
        <v>0.3145467910535209</v>
      </c>
      <c r="E102" s="16"/>
      <c r="F102" s="16"/>
      <c r="G102" s="16"/>
      <c r="H102" s="16"/>
      <c r="I102" s="16"/>
      <c r="J102" s="16" t="s">
        <v>67</v>
      </c>
      <c r="K102" s="46">
        <v>0.231892733083881</v>
      </c>
      <c r="L102" s="48">
        <f t="shared" si="7"/>
        <v>0.22417916661671433</v>
      </c>
      <c r="M102" s="16"/>
      <c r="N102" s="16"/>
      <c r="O102" s="16"/>
      <c r="P102" s="16"/>
    </row>
    <row r="103" spans="1:16" s="13" customFormat="1" x14ac:dyDescent="0.2">
      <c r="A103" s="16"/>
      <c r="B103" s="45"/>
      <c r="C103" s="46"/>
      <c r="D103" s="16"/>
      <c r="E103" s="16"/>
      <c r="F103" s="16"/>
      <c r="G103" s="16"/>
      <c r="H103" s="16"/>
      <c r="I103" s="16"/>
      <c r="J103" s="16"/>
      <c r="K103" s="16"/>
      <c r="L103" s="48"/>
      <c r="M103" s="16"/>
      <c r="N103" s="16"/>
      <c r="O103" s="16"/>
      <c r="P103" s="16"/>
    </row>
    <row r="104" spans="1:16" s="13" customFormat="1" x14ac:dyDescent="0.2">
      <c r="A104" s="16"/>
      <c r="B104" s="45"/>
      <c r="C104" s="46"/>
      <c r="D104" s="16"/>
      <c r="E104" s="16"/>
      <c r="F104" s="16"/>
      <c r="G104" s="16"/>
      <c r="H104" s="16"/>
      <c r="I104" s="16"/>
      <c r="J104" s="16"/>
      <c r="K104" s="16"/>
      <c r="L104" s="48"/>
      <c r="M104" s="16"/>
      <c r="N104" s="16"/>
      <c r="O104" s="16"/>
      <c r="P104" s="16"/>
    </row>
    <row r="105" spans="1:16" s="13" customFormat="1" x14ac:dyDescent="0.2">
      <c r="A105" s="16"/>
      <c r="B105" s="45"/>
      <c r="C105" s="16" t="s">
        <v>68</v>
      </c>
      <c r="D105" s="51" t="str">
        <f>IF(D106=0,(((D91+IF(D12="female",D101,0)-IF(D13="yes",D102,0)-IF(D7="*1/*1 (wild type)",0,IF(D7="*1/*2",D92,IF(D7="*1/*3",D93,IF(D7="*2/*2",D94,IF(D7="*2/*3",D95,IF(D7="*3/*3",D96))))))-D98*H9+D100*H10+D99*H11)^2)),"ERROR")</f>
        <v>ERROR</v>
      </c>
      <c r="E105" s="16" t="s">
        <v>69</v>
      </c>
      <c r="F105" s="47"/>
      <c r="G105" s="16"/>
      <c r="H105" s="16"/>
      <c r="I105" s="16"/>
      <c r="J105" s="47" t="s">
        <v>71</v>
      </c>
      <c r="K105" s="16" t="str">
        <f>IF(K106=0,(((L91-IF(D13="yes",L102,0)+IF(D12="female",L99)-IF(D7="*1/*1 (wild type)",0,IF(D7="*1/*2",L92,IF(D7="*1/*3",L93,IF(D7="*2/*2",L94,IF(D7="*2/*3",L95,IF(D7="*3/*3",L96))))))-L98*H9+L101*H10+L100*H11)^2)),"ERROR")</f>
        <v>ERROR</v>
      </c>
      <c r="L105" s="48"/>
      <c r="M105" s="16"/>
      <c r="N105" s="16"/>
      <c r="O105" s="47"/>
      <c r="P105" s="16"/>
    </row>
    <row r="106" spans="1:16" s="13" customFormat="1" x14ac:dyDescent="0.2">
      <c r="A106" s="16"/>
      <c r="B106" s="45"/>
      <c r="C106" s="16" t="s">
        <v>73</v>
      </c>
      <c r="D106" s="16">
        <f>COUNTIF(E7:E13,"Error")</f>
        <v>7</v>
      </c>
      <c r="E106" s="16"/>
      <c r="F106" s="47"/>
      <c r="G106" s="16"/>
      <c r="H106" s="16"/>
      <c r="I106" s="16"/>
      <c r="J106" s="47" t="s">
        <v>73</v>
      </c>
      <c r="K106" s="16">
        <f>COUNTIF(E7:E13,"Error")</f>
        <v>7</v>
      </c>
      <c r="L106" s="48"/>
      <c r="M106" s="16"/>
      <c r="N106" s="16"/>
      <c r="O106" s="47"/>
      <c r="P106" s="16"/>
    </row>
    <row r="107" spans="1:16" s="13" customFormat="1" x14ac:dyDescent="0.2">
      <c r="A107" s="16"/>
      <c r="B107" s="45"/>
      <c r="C107" s="16" t="s">
        <v>74</v>
      </c>
      <c r="D107" s="16" t="str">
        <f>IF(D108="Error","ERROR",IF(D108&lt;1.05,"3-3-3",IF(AND(D108&gt;1.04, D108&lt;1.32),"6-3-3",IF(AND(D108&gt;1.31,D108&lt;1.62),"6-6-3",IF(AND(D108&gt;1.61,D108&lt;1.86),"6-6-6",IF(AND(D108&gt;1.85,D108&lt;2.93),"9-6-6",IF(D108&gt;2.92,"9-9-6")))))))</f>
        <v>ERROR</v>
      </c>
      <c r="E107" s="16"/>
      <c r="F107" s="47"/>
      <c r="G107" s="16"/>
      <c r="H107" s="16"/>
      <c r="I107" s="16"/>
      <c r="J107" s="47" t="s">
        <v>74</v>
      </c>
      <c r="K107" s="16" t="str">
        <f>IF(K108="Error","ERROR",IF(K108&lt;2,K116,IF(AND(K108&gt;1.99,K108&lt;3.75),K117,IF(K108&gt;3.74,K118,"ERROR"))))</f>
        <v>ERROR</v>
      </c>
      <c r="L107" s="48"/>
      <c r="M107" s="16"/>
      <c r="N107" s="16"/>
      <c r="O107" s="47"/>
      <c r="P107" s="16"/>
    </row>
    <row r="108" spans="1:16" s="13" customFormat="1" ht="13.5" thickBot="1" x14ac:dyDescent="0.25">
      <c r="A108" s="16"/>
      <c r="B108" s="52"/>
      <c r="C108" s="53" t="s">
        <v>75</v>
      </c>
      <c r="D108" s="53" t="str">
        <f>IF(D105="ERROR","ERROR",D105/7)</f>
        <v>ERROR</v>
      </c>
      <c r="E108" s="53" t="s">
        <v>76</v>
      </c>
      <c r="F108" s="54"/>
      <c r="G108" s="53"/>
      <c r="H108" s="53"/>
      <c r="I108" s="53"/>
      <c r="J108" s="53" t="s">
        <v>78</v>
      </c>
      <c r="K108" s="53" t="str">
        <f>IF(K105="ERROR","ERROR",K105/7)</f>
        <v>ERROR</v>
      </c>
      <c r="L108" s="55"/>
      <c r="M108" s="16"/>
      <c r="N108" s="16"/>
      <c r="O108" s="16"/>
      <c r="P108" s="16"/>
    </row>
    <row r="109" spans="1:16" s="13" customFormat="1" x14ac:dyDescent="0.2">
      <c r="M109" s="16"/>
      <c r="N109" s="16"/>
      <c r="O109" s="16"/>
      <c r="P109" s="16"/>
    </row>
    <row r="110" spans="1:16" s="13" customFormat="1" x14ac:dyDescent="0.2"/>
    <row r="111" spans="1:16" s="13" customFormat="1" x14ac:dyDescent="0.2">
      <c r="B111" s="13" t="s">
        <v>82</v>
      </c>
    </row>
    <row r="112" spans="1:16" s="13" customFormat="1" x14ac:dyDescent="0.2">
      <c r="D112" s="13" t="s">
        <v>83</v>
      </c>
      <c r="H112" s="13" t="s">
        <v>84</v>
      </c>
      <c r="K112" s="13" t="s">
        <v>85</v>
      </c>
      <c r="P112" s="13" t="s">
        <v>86</v>
      </c>
    </row>
    <row r="113" spans="1:16" s="13" customFormat="1" x14ac:dyDescent="0.2">
      <c r="C113" s="13" t="s">
        <v>87</v>
      </c>
      <c r="D113" s="13" t="str">
        <f>IF(AND(D7="Unknown",OR(D8="GG (wild type)",D8="AG (heterozygous)",D8="AA (homozygous)")),D81,IF(AND(D8="Unknown",OR(D7="*1/*1 (wild type)",D7="*1/*2",D7="*1/*3",D7="*2/*2",D7="*2/*3",D7="*3/*3")),D105,IF(AND(OR(D7="*1/*1 (wild type)",D7="*1/*2",D7="*1/*3",D7="*2/*2",D7="*2/*3",D7="*3/*3"),OR(D8="GG (wild type)",D8="AG (heterozygous)",D8="AA (homozygous)")),D61,"ERROR")))</f>
        <v>ERROR</v>
      </c>
      <c r="H113" s="13" t="str">
        <f>H61</f>
        <v>ERROR</v>
      </c>
      <c r="J113" s="13" t="s">
        <v>87</v>
      </c>
      <c r="K113" s="13" t="str">
        <f>IF(AND(D7="Unknown",OR(D8="GG (wild type)",D8="AG (heterozygous)",D8="AA (homozygous)")),K81,IF(AND(D8="Unknown",OR(D7="*1/*1 (wild type)",D7="*1/*2",D7="*1/*3",D7="*2/*2",D7="*2/*3",D7="*3/*3")),K105,IF(AND(OR(D7="*1/*1 (wild type)",D7="*1/*2",D7="*1/*3",D7="*2/*2",D7="*2/*3",D7="*3/*3"),OR(D8="GG (wild type)",D8="AG (heterozygous)",D8="AA (homozygous)")),K61,"ERROR")))</f>
        <v>ERROR</v>
      </c>
      <c r="P113" s="13" t="str">
        <f>P61</f>
        <v>ERROR</v>
      </c>
    </row>
    <row r="114" spans="1:16" s="13" customFormat="1" x14ac:dyDescent="0.2">
      <c r="C114" s="13" t="s">
        <v>88</v>
      </c>
      <c r="D114" s="13" t="str">
        <f>IF(D113="ERROR","ERROR",D113/7)</f>
        <v>ERROR</v>
      </c>
      <c r="J114" s="13" t="s">
        <v>89</v>
      </c>
      <c r="K114" s="13" t="str">
        <f>IF(K113="ERROR","ERROR",K113/7)</f>
        <v>ERROR</v>
      </c>
    </row>
    <row r="115" spans="1:16" s="13" customFormat="1" x14ac:dyDescent="0.2">
      <c r="C115" s="13" t="s">
        <v>90</v>
      </c>
      <c r="D115" s="13" t="str">
        <f>IF(D114="Error","ERROR",IF(D114&lt;1.04,"3-3-3",IF(AND(D114&gt;1.03, D114&lt;1.31),"6-3-3",IF(AND(D114&gt;1.3,D114&lt;1.61),"6-6-3",IF(AND(D114&gt;1.6,D114&lt;1.85),"6-6-6",IF(AND(D114&gt;1.84,D114&lt;2.92),"9-6-6",IF(D114&gt;2.91,"9-9-6")))))))</f>
        <v>ERROR</v>
      </c>
      <c r="J115" s="13" t="s">
        <v>90</v>
      </c>
      <c r="K115" s="13" t="str">
        <f>IF(K113="Error","ERROR",IF(K114&lt;2,K117,IF(AND(K114&gt;1.99,K114&lt;3.75),K118,IF(K114&gt;3.74,K119,"ERROR"))))</f>
        <v>ERROR</v>
      </c>
    </row>
    <row r="116" spans="1:16" s="13" customFormat="1" ht="13.5" thickBot="1" x14ac:dyDescent="0.25"/>
    <row r="117" spans="1:16" s="13" customFormat="1" ht="13.5" thickBot="1" x14ac:dyDescent="0.25">
      <c r="A117" s="16"/>
      <c r="B117" s="16"/>
      <c r="C117" s="16"/>
      <c r="D117" s="16"/>
      <c r="E117" s="16"/>
      <c r="F117" s="47"/>
      <c r="G117" s="16"/>
      <c r="H117" s="16"/>
      <c r="I117" s="16"/>
      <c r="J117" s="42" t="s">
        <v>91</v>
      </c>
      <c r="K117" s="43" t="str">
        <f>IF(K113="ERROR","ERROR",IF(K114&lt;1,"1-1-1",IF(AND(K114&gt;0.99,K114&lt;1.25),"2-1-1",IF(AND(K114&gt;1.24,K114&lt;1.75),"2-2-1",IF(AND(K114&gt;1.74,K114&lt;2),"2-2-2",)))))</f>
        <v>ERROR</v>
      </c>
      <c r="L117" s="44"/>
      <c r="O117" s="42" t="s">
        <v>91</v>
      </c>
      <c r="P117" s="44" t="str">
        <f>IF(P64="ERROR","ERROR",IF(P64&lt;1,"1-1-1",IF(AND(P64&gt;0.99,P64&lt;1.25),"2-1-1",IF(AND(P64&gt;1.24,P64&lt;1.75),"2-2-1",IF(AND(P64&gt;1.74,P64&lt;2),"2-2-2",)))))</f>
        <v>ERROR</v>
      </c>
    </row>
    <row r="118" spans="1:16" s="13" customFormat="1" ht="15" x14ac:dyDescent="0.2">
      <c r="B118" s="42" t="s">
        <v>92</v>
      </c>
      <c r="C118" s="43"/>
      <c r="D118" s="44"/>
      <c r="J118" s="45" t="s">
        <v>91</v>
      </c>
      <c r="K118" s="56" t="str">
        <f>IF(K113="ERROR","ERROR",IF(AND(K114&gt;1.99,K114&lt;2.25),"3-2-2",IF(AND(K114&gt;2.24,K114&lt;2.75),"3-3-2",IF(AND(K114&gt;2.74,K114&lt;3),"3-3-3",IF(AND(K114&gt;2.99,K114&lt;3.25),"4-3-3",IF(AND(K114&gt;3.24,K114&lt;3.75),"4-4-3","ERROR"))))))</f>
        <v>ERROR</v>
      </c>
      <c r="L118" s="57"/>
      <c r="O118" s="45" t="s">
        <v>91</v>
      </c>
      <c r="P118" s="57" t="str">
        <f>IF(P64="ERROR","ERROR",IF(AND(P64&gt;1.99,P64&lt;2.25),"3-2-2",IF(AND(P64&gt;2.24,P64&lt;2.75),"3-3-2",IF(AND(P64&gt;2.74,P64&lt;3),"3-3-3",IF(AND(P64&gt;2.99,P64&lt;3.25),"4-3-3",IF(AND(P64&gt;3.24,P64&lt;3.75),"4-4-3","ERROR"))))))</f>
        <v>ERROR</v>
      </c>
    </row>
    <row r="119" spans="1:16" s="13" customFormat="1" ht="15.75" thickBot="1" x14ac:dyDescent="0.25">
      <c r="B119" s="45"/>
      <c r="C119" s="16"/>
      <c r="D119" s="48"/>
      <c r="J119" s="52" t="s">
        <v>91</v>
      </c>
      <c r="K119" s="58" t="str">
        <f>IF(K113="ERROR","ERROR",IF(AND(K114&gt;3.74,K114&lt;4),"4-4-4",IF(AND(K114&gt;3.99,K114&lt;4.25),"5-4-4",IF(AND(K114&gt;4.24,K114&lt;4.75),"5-5-4",IF(K114&gt;4.74,"5-5-5","ERROR")))))</f>
        <v>ERROR</v>
      </c>
      <c r="L119" s="59"/>
      <c r="O119" s="52" t="s">
        <v>91</v>
      </c>
      <c r="P119" s="59" t="str">
        <f>IF(P64="ERROR","ERROR",IF(AND(P64&gt;3.74,P64&lt;4),"4-4-4",IF(AND(P64&gt;3.99,P64&lt;4.25),"5-4-4",IF(AND(P64&gt;4.24,P64&lt;4.75),"5-5-4",IF(P64&gt;4.74,"5-5-5","ERROR")))))</f>
        <v>ERROR</v>
      </c>
    </row>
    <row r="120" spans="1:16" s="13" customFormat="1" ht="15" x14ac:dyDescent="0.2">
      <c r="B120" s="45" t="s">
        <v>93</v>
      </c>
      <c r="C120" s="16">
        <f>COUNTIF(E5:E6,"Error")</f>
        <v>1</v>
      </c>
      <c r="D120" s="48"/>
      <c r="K120" s="60"/>
    </row>
    <row r="121" spans="1:16" s="13" customFormat="1" x14ac:dyDescent="0.2">
      <c r="B121" s="45"/>
      <c r="C121" s="16"/>
      <c r="D121" s="48"/>
      <c r="E121" s="16"/>
    </row>
    <row r="122" spans="1:16" s="13" customFormat="1" x14ac:dyDescent="0.2">
      <c r="B122" s="45" t="s">
        <v>94</v>
      </c>
      <c r="C122" s="16">
        <f>IF(D5="Phenprocoumon",1,2)</f>
        <v>2</v>
      </c>
      <c r="D122" s="48"/>
    </row>
    <row r="123" spans="1:16" s="13" customFormat="1" ht="13.5" thickBot="1" x14ac:dyDescent="0.25">
      <c r="B123" s="52" t="s">
        <v>95</v>
      </c>
      <c r="C123" s="53">
        <f>IF(D6="Intervention Arm",3,4)</f>
        <v>3</v>
      </c>
      <c r="D123" s="55"/>
    </row>
    <row r="124" spans="1:16" s="13" customFormat="1" x14ac:dyDescent="0.2"/>
    <row r="125" spans="1:16" s="13" customFormat="1" x14ac:dyDescent="0.2"/>
    <row r="126" spans="1:16" s="13" customFormat="1" ht="13.5" thickBot="1" x14ac:dyDescent="0.25">
      <c r="A126" s="16"/>
      <c r="B126" s="16"/>
      <c r="C126" s="16"/>
      <c r="D126" s="16"/>
      <c r="E126" s="16"/>
      <c r="F126" s="16"/>
      <c r="G126" s="16"/>
      <c r="H126" s="16"/>
    </row>
    <row r="127" spans="1:16" s="13" customFormat="1" x14ac:dyDescent="0.2">
      <c r="A127" s="16"/>
      <c r="B127" s="42" t="s">
        <v>96</v>
      </c>
      <c r="C127" s="43"/>
      <c r="D127" s="43"/>
      <c r="E127" s="44"/>
      <c r="F127" s="16"/>
      <c r="G127" s="16"/>
      <c r="H127" s="16"/>
    </row>
    <row r="128" spans="1:16" s="13" customFormat="1" x14ac:dyDescent="0.2">
      <c r="A128" s="16"/>
      <c r="B128" s="45"/>
      <c r="C128" s="16"/>
      <c r="D128" s="16"/>
      <c r="E128" s="48"/>
      <c r="F128" s="16"/>
      <c r="G128" s="16"/>
      <c r="H128" s="16"/>
    </row>
    <row r="129" spans="1:8" s="13" customFormat="1" x14ac:dyDescent="0.2">
      <c r="A129" s="16"/>
      <c r="B129" s="45"/>
      <c r="C129" s="61" t="s">
        <v>97</v>
      </c>
      <c r="D129" s="61" t="s">
        <v>98</v>
      </c>
      <c r="E129" s="48" t="s">
        <v>99</v>
      </c>
      <c r="F129" s="16"/>
      <c r="G129" s="16"/>
      <c r="H129" s="16"/>
    </row>
    <row r="130" spans="1:8" s="13" customFormat="1" x14ac:dyDescent="0.2">
      <c r="A130" s="16"/>
      <c r="B130" s="62" t="s">
        <v>100</v>
      </c>
      <c r="C130" s="16">
        <f>IF(D27&lt;1.2,1.12,(IF(AND(D27&gt;1.19,D27&lt;1.6),1,(IF(D27&gt;1.59,0.85)))))</f>
        <v>1.1200000000000001</v>
      </c>
      <c r="D130" s="16">
        <f>IF(D27&lt;1.3,1.13,(IF(AND(D27&gt;1.29,D27&lt;2.3),1,(IF(D27&gt;2.29,0.78)))))</f>
        <v>1.1299999999999999</v>
      </c>
      <c r="E130" s="48">
        <f>IF(D27&lt;1.5,1.11,(IF(AND(D27&gt;1.49,D27&lt;2.5),1,(IF(D27&gt;2.49,0.87)))))</f>
        <v>1.1100000000000001</v>
      </c>
      <c r="F130" s="16"/>
      <c r="G130" s="16"/>
      <c r="H130" s="16"/>
    </row>
    <row r="131" spans="1:8" s="13" customFormat="1" x14ac:dyDescent="0.2">
      <c r="A131" s="16"/>
      <c r="B131" s="63" t="s">
        <v>101</v>
      </c>
      <c r="C131" s="16">
        <f>IF(D27&lt;1.2,1.32,(IF(AND(D27&gt;1.19,D27&lt;1.6),1,(IF(D27&gt;1.59,0.65)))))</f>
        <v>1.32</v>
      </c>
      <c r="D131" s="16">
        <f>IF(D27&lt;1.3,1.25,(IF(AND(D27&gt;1.29,D27&lt;2.3),1,(IF(D27&gt;2.29,0.63)))))</f>
        <v>1.25</v>
      </c>
      <c r="E131" s="48">
        <f>IF(D27&lt;1.5,1.31,(IF(AND(D27&gt;1.49,D27&lt;2.5),1,(IF(D27&gt;2.49,0.75)))))</f>
        <v>1.31</v>
      </c>
      <c r="F131" s="16"/>
      <c r="G131" s="16"/>
      <c r="H131" s="16"/>
    </row>
    <row r="132" spans="1:8" s="13" customFormat="1" x14ac:dyDescent="0.2">
      <c r="A132" s="16"/>
      <c r="B132" s="45"/>
      <c r="C132" s="16"/>
      <c r="D132" s="16"/>
      <c r="E132" s="48"/>
      <c r="F132" s="16"/>
      <c r="G132" s="16"/>
      <c r="H132" s="16"/>
    </row>
    <row r="133" spans="1:8" s="13" customFormat="1" x14ac:dyDescent="0.2">
      <c r="A133" s="16"/>
      <c r="B133" s="45" t="s">
        <v>102</v>
      </c>
      <c r="C133" s="16"/>
      <c r="D133" s="16"/>
      <c r="E133" s="48"/>
      <c r="F133" s="16"/>
      <c r="G133" s="16"/>
      <c r="H133" s="16"/>
    </row>
    <row r="134" spans="1:8" s="13" customFormat="1" x14ac:dyDescent="0.2">
      <c r="A134" s="16"/>
      <c r="B134" s="45" t="str">
        <f>IF(AND(D5="phenprocoumon",D6="Intervention Arm",D26=3),C130,IF((AND(D5="phenprocoumon",D6="Intervention Arm",D26=4)),D130,IF(AND(D5="phenprocoumon",D6="Intervention Arm",D26=5),E130,IF(AND(D5="phenprocoumon",D6="Control Arm",D26=3),C131,IF(AND(D5="phenprocoumon",D6="Control Arm",D26=4),D131,IF(AND(D5="phenprocoumon",D6="Control Arm",D26=5),E131,"ERROR"))))))</f>
        <v>ERROR</v>
      </c>
      <c r="C134" s="16"/>
      <c r="D134" s="16"/>
      <c r="E134" s="48"/>
      <c r="F134" s="16"/>
      <c r="G134" s="16"/>
      <c r="H134" s="16"/>
    </row>
    <row r="135" spans="1:8" s="13" customFormat="1" ht="13.5" thickBot="1" x14ac:dyDescent="0.25">
      <c r="A135" s="16"/>
      <c r="B135" s="52"/>
      <c r="C135" s="53"/>
      <c r="D135" s="53"/>
      <c r="E135" s="55"/>
      <c r="F135" s="16"/>
      <c r="G135" s="16"/>
      <c r="H135" s="16"/>
    </row>
    <row r="136" spans="1:8" s="13" customFormat="1" x14ac:dyDescent="0.2">
      <c r="A136" s="16"/>
      <c r="B136" s="42" t="s">
        <v>103</v>
      </c>
      <c r="C136" s="43"/>
      <c r="D136" s="43"/>
      <c r="E136" s="44"/>
      <c r="F136" s="16"/>
      <c r="G136" s="16"/>
      <c r="H136" s="16"/>
    </row>
    <row r="137" spans="1:8" s="13" customFormat="1" x14ac:dyDescent="0.2">
      <c r="A137" s="16"/>
      <c r="B137" s="45"/>
      <c r="C137" s="16"/>
      <c r="D137" s="16"/>
      <c r="E137" s="48"/>
      <c r="F137" s="16"/>
      <c r="G137" s="16"/>
      <c r="H137" s="16"/>
    </row>
    <row r="138" spans="1:8" s="13" customFormat="1" x14ac:dyDescent="0.2">
      <c r="A138" s="16"/>
      <c r="B138" s="45"/>
      <c r="C138" s="61" t="s">
        <v>104</v>
      </c>
      <c r="D138" s="61"/>
      <c r="E138" s="48"/>
      <c r="F138" s="16"/>
      <c r="G138" s="16"/>
      <c r="H138" s="16"/>
    </row>
    <row r="139" spans="1:8" s="13" customFormat="1" x14ac:dyDescent="0.2">
      <c r="A139" s="16"/>
      <c r="B139" s="62" t="s">
        <v>100</v>
      </c>
      <c r="C139" s="16">
        <f>IF(D27&lt;1.5,1.1,(IF(AND(D27&gt;1.49,D27&lt;2.5),1,(IF(AND(D27&gt;2.49,D27&lt;3),0.91,(IF(D27&gt;2.99,0.76)))))))</f>
        <v>1.1000000000000001</v>
      </c>
      <c r="D139" s="16"/>
      <c r="E139" s="48"/>
      <c r="F139" s="16"/>
      <c r="G139" s="16"/>
      <c r="H139" s="16"/>
    </row>
    <row r="140" spans="1:8" s="13" customFormat="1" x14ac:dyDescent="0.2">
      <c r="A140" s="16"/>
      <c r="B140" s="63" t="s">
        <v>101</v>
      </c>
      <c r="C140" s="16">
        <f>IF(D27&lt;1.5,1.42,(IF(AND(D27&gt;1.49,D27&lt;2.5),1,(IF(AND(D27&gt;2.49,D27&lt;3),0.89,(IF(D27&gt;2.99,0.69)))))))</f>
        <v>1.42</v>
      </c>
      <c r="D140" s="16"/>
      <c r="E140" s="48"/>
      <c r="F140" s="16"/>
      <c r="G140" s="16"/>
      <c r="H140" s="16"/>
    </row>
    <row r="141" spans="1:8" s="13" customFormat="1" x14ac:dyDescent="0.2">
      <c r="A141" s="16"/>
      <c r="B141" s="45"/>
      <c r="C141" s="16"/>
      <c r="D141" s="16"/>
      <c r="E141" s="48"/>
      <c r="F141" s="16"/>
      <c r="G141" s="16"/>
      <c r="H141" s="16"/>
    </row>
    <row r="142" spans="1:8" s="13" customFormat="1" x14ac:dyDescent="0.2">
      <c r="A142" s="16"/>
      <c r="B142" s="45" t="s">
        <v>105</v>
      </c>
      <c r="C142" s="16"/>
      <c r="D142" s="16"/>
      <c r="E142" s="48"/>
      <c r="F142" s="16"/>
      <c r="G142" s="16"/>
      <c r="H142" s="16"/>
    </row>
    <row r="143" spans="1:8" s="13" customFormat="1" x14ac:dyDescent="0.2">
      <c r="A143" s="16"/>
      <c r="B143" s="45" t="str">
        <f>IF(AND(D5="acenocoumarol",D6="Intervention Arm"),C139,IF(AND(D5="acenocoumarol",D6="Control Arm"),C140,"ERROR"))</f>
        <v>ERROR</v>
      </c>
      <c r="C143" s="16"/>
      <c r="D143" s="16"/>
      <c r="E143" s="48"/>
      <c r="F143" s="16"/>
      <c r="G143" s="16"/>
      <c r="H143" s="16"/>
    </row>
    <row r="144" spans="1:8" s="13" customFormat="1" ht="13.5" thickBot="1" x14ac:dyDescent="0.25">
      <c r="A144" s="16"/>
      <c r="B144" s="52"/>
      <c r="C144" s="53"/>
      <c r="D144" s="53"/>
      <c r="E144" s="55"/>
      <c r="F144" s="16"/>
      <c r="G144" s="16"/>
      <c r="H144" s="16"/>
    </row>
    <row r="145" spans="1:8" s="13" customFormat="1" x14ac:dyDescent="0.2">
      <c r="A145" s="16"/>
      <c r="B145" s="16"/>
      <c r="C145" s="16"/>
      <c r="D145" s="16"/>
      <c r="E145" s="16"/>
      <c r="F145" s="16"/>
      <c r="G145" s="16"/>
      <c r="H145" s="16"/>
    </row>
    <row r="146" spans="1:8" s="13" customFormat="1" x14ac:dyDescent="0.2">
      <c r="A146" s="16"/>
      <c r="B146" s="16"/>
      <c r="C146" s="16"/>
      <c r="D146" s="16"/>
      <c r="E146" s="16"/>
      <c r="F146" s="16"/>
      <c r="G146" s="16"/>
      <c r="H146" s="16"/>
    </row>
    <row r="147" spans="1:8" s="13" customFormat="1" x14ac:dyDescent="0.2">
      <c r="A147" s="16"/>
      <c r="B147" s="16" t="s">
        <v>106</v>
      </c>
      <c r="C147" s="16"/>
      <c r="D147" s="16"/>
      <c r="E147" s="16"/>
      <c r="F147" s="16"/>
      <c r="G147" s="16"/>
      <c r="H147" s="16"/>
    </row>
    <row r="148" spans="1:8" s="13" customFormat="1" x14ac:dyDescent="0.2">
      <c r="A148" s="16"/>
      <c r="B148" s="16" t="str">
        <f>IF(AND(D5="phenprocoumon",C153=1),C150,C148)</f>
        <v/>
      </c>
      <c r="C148" s="13" t="str">
        <f>IF(OR(AND(D26=3,D27&lt;1.2),AND(D26=4,D27&lt;1.3)),D148,"")</f>
        <v/>
      </c>
      <c r="D148" s="16" t="str">
        <f>IF(AND(E20&lt;0.85,E20&gt;0.75),E148,IF(E20&gt;0.85,E149,""))</f>
        <v>6-6- INR based MD</v>
      </c>
      <c r="E148" s="16" t="s">
        <v>107</v>
      </c>
      <c r="F148" s="16"/>
      <c r="G148" s="16"/>
      <c r="H148" s="16"/>
    </row>
    <row r="149" spans="1:8" s="13" customFormat="1" x14ac:dyDescent="0.2">
      <c r="A149" s="16"/>
      <c r="B149" s="16"/>
      <c r="C149" s="16"/>
      <c r="D149" s="16"/>
      <c r="E149" s="16" t="s">
        <v>108</v>
      </c>
      <c r="F149" s="16"/>
      <c r="G149" s="16"/>
      <c r="H149" s="16"/>
    </row>
    <row r="150" spans="1:8" s="13" customFormat="1" x14ac:dyDescent="0.2">
      <c r="C150" s="13" t="str">
        <f>IF(AND(D26=5,D27&lt;1.5),D150,"")</f>
        <v/>
      </c>
      <c r="D150" s="13" t="str">
        <f>IF(E20&gt;0.75,E150,"")</f>
        <v>6- INR based MD</v>
      </c>
      <c r="E150" s="13" t="s">
        <v>109</v>
      </c>
    </row>
    <row r="151" spans="1:8" s="13" customFormat="1" x14ac:dyDescent="0.2"/>
    <row r="152" spans="1:8" s="13" customFormat="1" x14ac:dyDescent="0.2"/>
    <row r="153" spans="1:8" s="13" customFormat="1" x14ac:dyDescent="0.2">
      <c r="C153" s="13">
        <f>IF(C148="",1,0)</f>
        <v>1</v>
      </c>
    </row>
    <row r="154" spans="1:8" s="13" customFormat="1" x14ac:dyDescent="0.2"/>
    <row r="155" spans="1:8" s="13" customFormat="1" x14ac:dyDescent="0.2"/>
    <row r="156" spans="1:8" s="13" customFormat="1" x14ac:dyDescent="0.2"/>
    <row r="157" spans="1:8" s="13" customFormat="1" x14ac:dyDescent="0.2">
      <c r="B157" s="13" t="str">
        <f>IF(OR(AND(D26=3,D27&gt;2.2),AND(D26=4,D27&gt;2.8),AND(D26=5,D27&gt;3)),"WARNING: Patient should not take a dose on the day of the INR measurement!!","")</f>
        <v/>
      </c>
    </row>
    <row r="158" spans="1:8" s="13" customFormat="1" x14ac:dyDescent="0.2"/>
    <row r="159" spans="1:8" s="13" customFormat="1" x14ac:dyDescent="0.2"/>
    <row r="160" spans="1:8" s="13" customFormat="1" x14ac:dyDescent="0.2"/>
    <row r="161" s="13" customFormat="1" x14ac:dyDescent="0.2"/>
    <row r="162" s="13" customFormat="1" x14ac:dyDescent="0.2"/>
    <row r="163" s="13" customFormat="1" x14ac:dyDescent="0.2"/>
    <row r="164" s="13" customFormat="1" x14ac:dyDescent="0.2"/>
    <row r="165" s="13" customFormat="1" x14ac:dyDescent="0.2"/>
    <row r="166" s="13" customFormat="1" x14ac:dyDescent="0.2"/>
    <row r="167" s="13" customFormat="1" x14ac:dyDescent="0.2"/>
    <row r="168" s="13" customFormat="1" x14ac:dyDescent="0.2"/>
    <row r="169" s="13" customFormat="1" x14ac:dyDescent="0.2"/>
    <row r="170" s="13" customFormat="1" x14ac:dyDescent="0.2"/>
    <row r="171" s="13" customFormat="1" x14ac:dyDescent="0.2"/>
    <row r="172" s="13" customFormat="1" x14ac:dyDescent="0.2"/>
    <row r="173" s="13" customFormat="1" x14ac:dyDescent="0.2"/>
    <row r="174" s="13" customFormat="1" x14ac:dyDescent="0.2"/>
    <row r="175" s="13" customFormat="1" x14ac:dyDescent="0.2"/>
    <row r="176" s="13" customFormat="1" x14ac:dyDescent="0.2"/>
    <row r="177" s="13" customFormat="1" x14ac:dyDescent="0.2"/>
    <row r="178" s="13" customFormat="1" x14ac:dyDescent="0.2"/>
    <row r="179" s="13" customFormat="1" x14ac:dyDescent="0.2"/>
    <row r="180" s="13" customFormat="1" x14ac:dyDescent="0.2"/>
    <row r="181" s="13" customFormat="1" x14ac:dyDescent="0.2"/>
    <row r="182" s="13" customFormat="1" x14ac:dyDescent="0.2"/>
    <row r="183" s="13" customFormat="1" x14ac:dyDescent="0.2"/>
    <row r="184" s="13" customFormat="1" x14ac:dyDescent="0.2"/>
    <row r="185" s="13" customFormat="1" x14ac:dyDescent="0.2"/>
    <row r="186" s="13" customFormat="1" x14ac:dyDescent="0.2"/>
    <row r="187" s="13" customFormat="1" x14ac:dyDescent="0.2"/>
    <row r="188" s="13" customFormat="1" x14ac:dyDescent="0.2"/>
    <row r="189" s="13" customFormat="1" x14ac:dyDescent="0.2"/>
    <row r="190" s="13" customFormat="1" x14ac:dyDescent="0.2"/>
    <row r="191" s="13" customFormat="1" x14ac:dyDescent="0.2"/>
    <row r="192" s="13" customFormat="1" x14ac:dyDescent="0.2"/>
    <row r="193" s="13" customFormat="1" x14ac:dyDescent="0.2"/>
    <row r="194" s="13" customFormat="1" x14ac:dyDescent="0.2"/>
    <row r="195" s="13" customFormat="1" x14ac:dyDescent="0.2"/>
    <row r="196" s="13" customFormat="1" x14ac:dyDescent="0.2"/>
    <row r="197" s="13" customFormat="1" x14ac:dyDescent="0.2"/>
    <row r="198" s="13" customFormat="1" x14ac:dyDescent="0.2"/>
    <row r="199" s="13" customFormat="1" x14ac:dyDescent="0.2"/>
    <row r="200" s="13" customFormat="1" x14ac:dyDescent="0.2"/>
    <row r="201" s="13" customFormat="1" x14ac:dyDescent="0.2"/>
    <row r="202" s="13" customFormat="1" x14ac:dyDescent="0.2"/>
    <row r="203" s="13" customFormat="1" x14ac:dyDescent="0.2"/>
    <row r="204" s="13" customFormat="1" x14ac:dyDescent="0.2"/>
    <row r="205" s="13" customFormat="1" x14ac:dyDescent="0.2"/>
    <row r="206" s="13" customFormat="1" x14ac:dyDescent="0.2"/>
    <row r="207" s="13" customFormat="1" x14ac:dyDescent="0.2"/>
    <row r="208" s="13" customFormat="1" x14ac:dyDescent="0.2"/>
    <row r="209" s="13" customFormat="1" x14ac:dyDescent="0.2"/>
    <row r="210" s="13" customFormat="1" x14ac:dyDescent="0.2"/>
    <row r="211" s="13" customFormat="1" x14ac:dyDescent="0.2"/>
    <row r="212" s="13" customFormat="1" x14ac:dyDescent="0.2"/>
    <row r="213" s="13" customFormat="1" x14ac:dyDescent="0.2"/>
    <row r="214" s="13" customFormat="1" x14ac:dyDescent="0.2"/>
    <row r="215" s="13" customFormat="1" x14ac:dyDescent="0.2"/>
    <row r="216" s="13" customFormat="1" x14ac:dyDescent="0.2"/>
    <row r="217" s="13" customFormat="1" x14ac:dyDescent="0.2"/>
    <row r="218" s="13" customFormat="1" x14ac:dyDescent="0.2"/>
    <row r="219" s="13" customFormat="1" x14ac:dyDescent="0.2"/>
    <row r="220" s="13" customFormat="1" x14ac:dyDescent="0.2"/>
    <row r="221" s="13" customFormat="1" x14ac:dyDescent="0.2"/>
    <row r="222" s="13" customFormat="1" x14ac:dyDescent="0.2"/>
    <row r="223" s="13" customFormat="1" x14ac:dyDescent="0.2"/>
    <row r="224" s="13" customFormat="1" x14ac:dyDescent="0.2"/>
    <row r="225" s="13" customFormat="1" x14ac:dyDescent="0.2"/>
    <row r="226" s="13" customFormat="1" x14ac:dyDescent="0.2"/>
    <row r="227" s="13" customFormat="1" x14ac:dyDescent="0.2"/>
    <row r="228" s="13" customFormat="1" x14ac:dyDescent="0.2"/>
    <row r="229" s="13" customFormat="1" x14ac:dyDescent="0.2"/>
    <row r="230" s="13" customFormat="1" x14ac:dyDescent="0.2"/>
    <row r="231" s="13" customFormat="1" x14ac:dyDescent="0.2"/>
    <row r="232" s="13" customFormat="1" x14ac:dyDescent="0.2"/>
    <row r="233" s="13" customFormat="1" x14ac:dyDescent="0.2"/>
    <row r="234" s="13" customFormat="1" x14ac:dyDescent="0.2"/>
    <row r="235" s="13" customFormat="1" x14ac:dyDescent="0.2"/>
    <row r="236" s="13" customFormat="1" x14ac:dyDescent="0.2"/>
    <row r="237" s="13" customFormat="1" x14ac:dyDescent="0.2"/>
    <row r="238" s="13" customFormat="1" x14ac:dyDescent="0.2"/>
    <row r="239" s="13" customFormat="1" x14ac:dyDescent="0.2"/>
    <row r="240" s="13" customFormat="1" x14ac:dyDescent="0.2"/>
    <row r="241" s="13" customFormat="1" x14ac:dyDescent="0.2"/>
    <row r="242" s="13" customFormat="1" x14ac:dyDescent="0.2"/>
    <row r="243" s="13" customFormat="1" x14ac:dyDescent="0.2"/>
    <row r="244" s="13" customFormat="1" x14ac:dyDescent="0.2"/>
    <row r="245" s="13" customFormat="1" x14ac:dyDescent="0.2"/>
    <row r="246" s="13" customFormat="1" x14ac:dyDescent="0.2"/>
    <row r="247" s="13" customFormat="1" x14ac:dyDescent="0.2"/>
    <row r="248" s="13" customFormat="1" x14ac:dyDescent="0.2"/>
    <row r="249" s="13" customFormat="1" x14ac:dyDescent="0.2"/>
    <row r="250" s="13" customFormat="1" x14ac:dyDescent="0.2"/>
    <row r="251" s="13" customFormat="1" x14ac:dyDescent="0.2"/>
    <row r="252" s="13" customFormat="1" x14ac:dyDescent="0.2"/>
    <row r="253" s="13" customFormat="1" x14ac:dyDescent="0.2"/>
    <row r="254" s="13" customFormat="1" x14ac:dyDescent="0.2"/>
    <row r="255" s="13" customFormat="1" x14ac:dyDescent="0.2"/>
    <row r="256" s="13" customFormat="1" x14ac:dyDescent="0.2"/>
    <row r="257" s="13" customFormat="1" x14ac:dyDescent="0.2"/>
    <row r="258" s="13" customFormat="1" x14ac:dyDescent="0.2"/>
    <row r="259" s="13" customFormat="1" x14ac:dyDescent="0.2"/>
    <row r="260" s="13" customFormat="1" x14ac:dyDescent="0.2"/>
    <row r="261" s="13" customFormat="1" x14ac:dyDescent="0.2"/>
    <row r="262" s="13" customFormat="1" x14ac:dyDescent="0.2"/>
    <row r="263" s="13" customFormat="1" x14ac:dyDescent="0.2"/>
    <row r="264" s="13" customFormat="1" x14ac:dyDescent="0.2"/>
    <row r="265" s="13" customFormat="1" x14ac:dyDescent="0.2"/>
    <row r="266" s="13" customFormat="1" x14ac:dyDescent="0.2"/>
    <row r="267" s="13" customFormat="1" x14ac:dyDescent="0.2"/>
    <row r="268" s="13" customFormat="1" x14ac:dyDescent="0.2"/>
    <row r="269" s="13" customFormat="1" x14ac:dyDescent="0.2"/>
    <row r="270" s="13" customFormat="1" x14ac:dyDescent="0.2"/>
    <row r="271" s="13" customFormat="1" x14ac:dyDescent="0.2"/>
    <row r="272" s="13" customFormat="1" x14ac:dyDescent="0.2"/>
    <row r="273" s="13" customFormat="1" x14ac:dyDescent="0.2"/>
    <row r="274" s="13" customFormat="1" x14ac:dyDescent="0.2"/>
    <row r="275" s="13" customFormat="1" x14ac:dyDescent="0.2"/>
    <row r="276" s="13" customFormat="1" x14ac:dyDescent="0.2"/>
    <row r="277" s="13" customFormat="1" x14ac:dyDescent="0.2"/>
    <row r="278" s="13" customFormat="1" x14ac:dyDescent="0.2"/>
    <row r="279" s="13" customFormat="1" x14ac:dyDescent="0.2"/>
    <row r="280" s="13" customFormat="1" x14ac:dyDescent="0.2"/>
    <row r="281" s="13" customFormat="1" x14ac:dyDescent="0.2"/>
    <row r="282" s="13" customFormat="1" x14ac:dyDescent="0.2"/>
    <row r="283" s="13" customFormat="1" x14ac:dyDescent="0.2"/>
    <row r="284" s="13" customFormat="1" x14ac:dyDescent="0.2"/>
    <row r="285" s="13" customFormat="1" x14ac:dyDescent="0.2"/>
    <row r="286" s="13" customFormat="1" x14ac:dyDescent="0.2"/>
    <row r="287" s="13" customFormat="1" x14ac:dyDescent="0.2"/>
    <row r="288" s="13" customFormat="1" x14ac:dyDescent="0.2"/>
    <row r="289" s="13" customFormat="1" x14ac:dyDescent="0.2"/>
    <row r="290" s="13" customFormat="1" x14ac:dyDescent="0.2"/>
    <row r="291" s="13" customFormat="1" x14ac:dyDescent="0.2"/>
    <row r="292" s="13" customFormat="1" x14ac:dyDescent="0.2"/>
    <row r="293" s="13" customFormat="1" x14ac:dyDescent="0.2"/>
    <row r="294" s="13" customFormat="1" x14ac:dyDescent="0.2"/>
    <row r="295" s="13" customFormat="1" x14ac:dyDescent="0.2"/>
    <row r="296" s="13" customFormat="1" x14ac:dyDescent="0.2"/>
    <row r="297" s="13" customFormat="1" x14ac:dyDescent="0.2"/>
    <row r="298" s="13" customFormat="1" x14ac:dyDescent="0.2"/>
    <row r="299" s="13" customFormat="1" x14ac:dyDescent="0.2"/>
    <row r="300" s="13" customFormat="1" x14ac:dyDescent="0.2"/>
    <row r="301" s="13" customFormat="1" x14ac:dyDescent="0.2"/>
    <row r="302" s="13" customFormat="1" x14ac:dyDescent="0.2"/>
    <row r="303" s="13" customFormat="1" x14ac:dyDescent="0.2"/>
    <row r="304" s="13" customFormat="1" x14ac:dyDescent="0.2"/>
    <row r="305" s="13" customFormat="1" x14ac:dyDescent="0.2"/>
    <row r="306" s="13" customFormat="1" x14ac:dyDescent="0.2"/>
    <row r="307" s="13" customFormat="1" x14ac:dyDescent="0.2"/>
    <row r="308" s="13" customFormat="1" x14ac:dyDescent="0.2"/>
    <row r="309" s="13" customFormat="1" x14ac:dyDescent="0.2"/>
    <row r="310" s="13" customFormat="1" x14ac:dyDescent="0.2"/>
    <row r="311" s="13" customFormat="1" x14ac:dyDescent="0.2"/>
    <row r="312" s="13" customFormat="1" x14ac:dyDescent="0.2"/>
    <row r="313" s="13" customFormat="1" x14ac:dyDescent="0.2"/>
    <row r="314" s="13" customFormat="1" x14ac:dyDescent="0.2"/>
    <row r="315" s="13" customFormat="1" x14ac:dyDescent="0.2"/>
    <row r="316" s="13" customFormat="1" x14ac:dyDescent="0.2"/>
    <row r="317" s="13" customFormat="1" x14ac:dyDescent="0.2"/>
    <row r="318" s="13" customFormat="1" x14ac:dyDescent="0.2"/>
    <row r="319" s="13" customFormat="1" x14ac:dyDescent="0.2"/>
    <row r="320" s="13" customFormat="1" x14ac:dyDescent="0.2"/>
    <row r="321" s="13" customFormat="1" x14ac:dyDescent="0.2"/>
    <row r="322" s="13" customFormat="1" x14ac:dyDescent="0.2"/>
    <row r="323" s="13" customFormat="1" x14ac:dyDescent="0.2"/>
    <row r="324" s="13" customFormat="1" x14ac:dyDescent="0.2"/>
    <row r="325" s="13" customFormat="1" x14ac:dyDescent="0.2"/>
    <row r="326" s="13" customFormat="1" x14ac:dyDescent="0.2"/>
    <row r="327" s="13" customFormat="1" x14ac:dyDescent="0.2"/>
    <row r="328" s="13" customFormat="1" x14ac:dyDescent="0.2"/>
    <row r="329" s="13" customFormat="1" x14ac:dyDescent="0.2"/>
    <row r="330" s="13" customFormat="1" x14ac:dyDescent="0.2"/>
    <row r="331" s="13" customFormat="1" x14ac:dyDescent="0.2"/>
    <row r="332" s="13" customFormat="1" x14ac:dyDescent="0.2"/>
    <row r="333" s="13" customFormat="1" x14ac:dyDescent="0.2"/>
    <row r="334" s="13" customFormat="1" x14ac:dyDescent="0.2"/>
    <row r="335" s="13" customFormat="1" x14ac:dyDescent="0.2"/>
    <row r="336" s="13" customFormat="1" x14ac:dyDescent="0.2"/>
    <row r="337" s="13" customFormat="1" x14ac:dyDescent="0.2"/>
    <row r="338" s="13" customFormat="1" x14ac:dyDescent="0.2"/>
    <row r="339" s="13" customFormat="1" x14ac:dyDescent="0.2"/>
    <row r="340" s="13" customFormat="1" x14ac:dyDescent="0.2"/>
    <row r="341" s="13" customFormat="1" x14ac:dyDescent="0.2"/>
    <row r="342" s="13" customFormat="1" x14ac:dyDescent="0.2"/>
    <row r="343" s="13" customFormat="1" x14ac:dyDescent="0.2"/>
    <row r="344" s="13" customFormat="1" x14ac:dyDescent="0.2"/>
    <row r="345" s="13" customFormat="1" x14ac:dyDescent="0.2"/>
    <row r="346" s="13" customFormat="1" x14ac:dyDescent="0.2"/>
    <row r="347" s="13" customFormat="1" x14ac:dyDescent="0.2"/>
    <row r="348" s="13" customFormat="1" x14ac:dyDescent="0.2"/>
    <row r="349" s="13" customFormat="1" x14ac:dyDescent="0.2"/>
    <row r="350" s="13" customFormat="1" x14ac:dyDescent="0.2"/>
    <row r="351" s="13" customFormat="1" x14ac:dyDescent="0.2"/>
    <row r="352" s="13" customFormat="1" x14ac:dyDescent="0.2"/>
    <row r="353" s="13" customFormat="1" x14ac:dyDescent="0.2"/>
    <row r="354" s="13" customFormat="1" x14ac:dyDescent="0.2"/>
    <row r="355" s="13" customFormat="1" x14ac:dyDescent="0.2"/>
    <row r="356" s="13" customFormat="1" x14ac:dyDescent="0.2"/>
    <row r="357" s="13" customFormat="1" x14ac:dyDescent="0.2"/>
    <row r="358" s="13" customFormat="1" x14ac:dyDescent="0.2"/>
    <row r="359" s="13" customFormat="1" x14ac:dyDescent="0.2"/>
    <row r="360" s="13" customFormat="1" x14ac:dyDescent="0.2"/>
    <row r="361" s="13" customFormat="1" x14ac:dyDescent="0.2"/>
    <row r="362" s="13" customFormat="1" x14ac:dyDescent="0.2"/>
    <row r="363" s="13" customFormat="1" x14ac:dyDescent="0.2"/>
    <row r="364" s="13" customFormat="1" x14ac:dyDescent="0.2"/>
    <row r="365" s="13" customFormat="1" x14ac:dyDescent="0.2"/>
    <row r="366" s="13" customFormat="1" x14ac:dyDescent="0.2"/>
    <row r="367" s="13" customFormat="1" x14ac:dyDescent="0.2"/>
    <row r="368" s="13" customFormat="1" x14ac:dyDescent="0.2"/>
    <row r="369" s="13" customFormat="1" x14ac:dyDescent="0.2"/>
    <row r="370" s="13" customFormat="1" x14ac:dyDescent="0.2"/>
    <row r="371" s="13" customFormat="1" x14ac:dyDescent="0.2"/>
    <row r="372" s="13" customFormat="1" x14ac:dyDescent="0.2"/>
    <row r="373" s="13" customFormat="1" x14ac:dyDescent="0.2"/>
    <row r="374" s="13" customFormat="1" x14ac:dyDescent="0.2"/>
    <row r="375" s="13" customFormat="1" x14ac:dyDescent="0.2"/>
    <row r="376" s="13" customFormat="1" x14ac:dyDescent="0.2"/>
    <row r="377" s="13" customFormat="1" x14ac:dyDescent="0.2"/>
    <row r="378" s="13" customFormat="1" x14ac:dyDescent="0.2"/>
    <row r="379" s="13" customFormat="1" x14ac:dyDescent="0.2"/>
    <row r="380" s="13" customFormat="1" x14ac:dyDescent="0.2"/>
    <row r="381" s="13" customFormat="1" x14ac:dyDescent="0.2"/>
    <row r="382" s="13" customFormat="1" x14ac:dyDescent="0.2"/>
    <row r="383" s="13" customFormat="1" x14ac:dyDescent="0.2"/>
    <row r="384" s="13" customFormat="1" x14ac:dyDescent="0.2"/>
    <row r="385" s="13" customFormat="1" x14ac:dyDescent="0.2"/>
    <row r="386" s="13" customFormat="1" x14ac:dyDescent="0.2"/>
    <row r="387" s="13" customFormat="1" x14ac:dyDescent="0.2"/>
    <row r="388" s="13" customFormat="1" x14ac:dyDescent="0.2"/>
    <row r="389" s="13" customFormat="1" x14ac:dyDescent="0.2"/>
    <row r="390" s="13" customFormat="1" x14ac:dyDescent="0.2"/>
    <row r="391" s="13" customFormat="1" x14ac:dyDescent="0.2"/>
    <row r="392" s="13" customFormat="1" x14ac:dyDescent="0.2"/>
    <row r="393" s="13" customFormat="1" x14ac:dyDescent="0.2"/>
    <row r="394" s="13" customFormat="1" x14ac:dyDescent="0.2"/>
    <row r="395" s="13" customFormat="1" x14ac:dyDescent="0.2"/>
    <row r="396" s="13" customFormat="1" x14ac:dyDescent="0.2"/>
    <row r="397" s="13" customFormat="1" x14ac:dyDescent="0.2"/>
    <row r="398" s="13" customFormat="1" x14ac:dyDescent="0.2"/>
    <row r="399" s="13" customFormat="1" x14ac:dyDescent="0.2"/>
    <row r="400" s="13" customFormat="1" x14ac:dyDescent="0.2"/>
    <row r="401" s="13" customFormat="1" x14ac:dyDescent="0.2"/>
    <row r="402" s="13" customFormat="1" x14ac:dyDescent="0.2"/>
    <row r="403" s="13" customFormat="1" x14ac:dyDescent="0.2"/>
    <row r="404" s="13" customFormat="1" x14ac:dyDescent="0.2"/>
    <row r="405" s="13" customFormat="1" x14ac:dyDescent="0.2"/>
    <row r="406" s="13" customFormat="1" x14ac:dyDescent="0.2"/>
    <row r="407" s="13" customFormat="1" x14ac:dyDescent="0.2"/>
    <row r="408" s="13" customFormat="1" x14ac:dyDescent="0.2"/>
    <row r="409" s="13" customFormat="1" x14ac:dyDescent="0.2"/>
    <row r="410" s="13" customFormat="1" x14ac:dyDescent="0.2"/>
    <row r="411" s="13" customFormat="1" x14ac:dyDescent="0.2"/>
    <row r="412" s="13" customFormat="1" x14ac:dyDescent="0.2"/>
    <row r="413" s="13" customFormat="1" x14ac:dyDescent="0.2"/>
    <row r="414" s="13" customFormat="1" x14ac:dyDescent="0.2"/>
    <row r="415" s="13" customFormat="1" x14ac:dyDescent="0.2"/>
    <row r="416" s="13" customFormat="1" x14ac:dyDescent="0.2"/>
    <row r="417" s="13" customFormat="1" x14ac:dyDescent="0.2"/>
    <row r="418" s="13" customFormat="1" x14ac:dyDescent="0.2"/>
    <row r="419" s="13" customFormat="1" x14ac:dyDescent="0.2"/>
    <row r="420" s="13" customFormat="1" x14ac:dyDescent="0.2"/>
    <row r="421" s="13" customFormat="1" x14ac:dyDescent="0.2"/>
    <row r="422" s="13" customFormat="1" x14ac:dyDescent="0.2"/>
    <row r="423" s="13" customFormat="1" x14ac:dyDescent="0.2"/>
    <row r="424" s="13" customFormat="1" x14ac:dyDescent="0.2"/>
    <row r="425" s="13" customFormat="1" x14ac:dyDescent="0.2"/>
    <row r="426" s="13" customFormat="1" x14ac:dyDescent="0.2"/>
    <row r="427" s="13" customFormat="1" x14ac:dyDescent="0.2"/>
    <row r="428" s="13" customFormat="1" x14ac:dyDescent="0.2"/>
    <row r="429" s="13" customFormat="1" x14ac:dyDescent="0.2"/>
    <row r="430" s="13" customFormat="1" x14ac:dyDescent="0.2"/>
    <row r="431" s="13" customFormat="1" x14ac:dyDescent="0.2"/>
    <row r="432" s="13" customFormat="1" x14ac:dyDescent="0.2"/>
    <row r="433" s="13" customFormat="1" x14ac:dyDescent="0.2"/>
    <row r="434" s="13" customFormat="1" x14ac:dyDescent="0.2"/>
    <row r="435" s="13" customFormat="1" x14ac:dyDescent="0.2"/>
    <row r="436" s="13" customFormat="1" x14ac:dyDescent="0.2"/>
    <row r="437" s="13" customFormat="1" x14ac:dyDescent="0.2"/>
    <row r="438" s="13" customFormat="1" x14ac:dyDescent="0.2"/>
    <row r="439" s="13" customFormat="1" x14ac:dyDescent="0.2"/>
    <row r="440" s="13" customFormat="1" x14ac:dyDescent="0.2"/>
    <row r="441" s="13" customFormat="1" x14ac:dyDescent="0.2"/>
    <row r="442" s="13" customFormat="1" x14ac:dyDescent="0.2"/>
    <row r="443" s="13" customFormat="1" x14ac:dyDescent="0.2"/>
    <row r="444" s="13" customFormat="1" x14ac:dyDescent="0.2"/>
    <row r="445" s="13" customFormat="1" x14ac:dyDescent="0.2"/>
    <row r="446" s="13" customFormat="1" x14ac:dyDescent="0.2"/>
    <row r="447" s="13" customFormat="1" x14ac:dyDescent="0.2"/>
    <row r="448" s="13" customFormat="1" x14ac:dyDescent="0.2"/>
    <row r="449" s="13" customFormat="1" x14ac:dyDescent="0.2"/>
    <row r="450" s="13" customFormat="1" x14ac:dyDescent="0.2"/>
    <row r="451" s="13" customFormat="1" x14ac:dyDescent="0.2"/>
    <row r="452" s="13" customFormat="1" x14ac:dyDescent="0.2"/>
    <row r="453" s="13" customFormat="1" x14ac:dyDescent="0.2"/>
    <row r="454" s="13" customFormat="1" x14ac:dyDescent="0.2"/>
    <row r="455" s="13" customFormat="1" x14ac:dyDescent="0.2"/>
    <row r="456" s="13" customFormat="1" x14ac:dyDescent="0.2"/>
    <row r="457" s="13" customFormat="1" x14ac:dyDescent="0.2"/>
    <row r="458" s="13" customFormat="1" x14ac:dyDescent="0.2"/>
    <row r="459" s="13" customFormat="1" x14ac:dyDescent="0.2"/>
    <row r="460" s="13" customFormat="1" x14ac:dyDescent="0.2"/>
    <row r="461" s="13" customFormat="1" x14ac:dyDescent="0.2"/>
    <row r="462" s="13" customFormat="1" x14ac:dyDescent="0.2"/>
    <row r="463" s="13" customFormat="1" x14ac:dyDescent="0.2"/>
    <row r="464" s="13" customFormat="1" x14ac:dyDescent="0.2"/>
    <row r="465" s="13" customFormat="1" x14ac:dyDescent="0.2"/>
    <row r="466" s="13" customFormat="1" x14ac:dyDescent="0.2"/>
    <row r="467" s="13" customFormat="1" x14ac:dyDescent="0.2"/>
    <row r="468" s="13" customFormat="1" x14ac:dyDescent="0.2"/>
    <row r="469" s="13" customFormat="1" x14ac:dyDescent="0.2"/>
    <row r="470" s="13" customFormat="1" x14ac:dyDescent="0.2"/>
    <row r="471" s="13" customFormat="1" x14ac:dyDescent="0.2"/>
    <row r="472" s="13" customFormat="1" x14ac:dyDescent="0.2"/>
    <row r="473" s="13" customFormat="1" x14ac:dyDescent="0.2"/>
    <row r="474" s="13" customFormat="1" x14ac:dyDescent="0.2"/>
    <row r="475" s="13" customFormat="1" x14ac:dyDescent="0.2"/>
    <row r="476" s="13" customFormat="1" x14ac:dyDescent="0.2"/>
    <row r="477" s="13" customFormat="1" x14ac:dyDescent="0.2"/>
    <row r="478" s="13" customFormat="1" x14ac:dyDescent="0.2"/>
    <row r="479" s="13" customFormat="1" x14ac:dyDescent="0.2"/>
    <row r="480" s="13" customFormat="1" x14ac:dyDescent="0.2"/>
    <row r="481" s="13" customFormat="1" x14ac:dyDescent="0.2"/>
    <row r="482" s="13" customFormat="1" x14ac:dyDescent="0.2"/>
    <row r="483" s="13" customFormat="1" x14ac:dyDescent="0.2"/>
    <row r="484" s="13" customFormat="1" x14ac:dyDescent="0.2"/>
    <row r="485" s="13" customFormat="1" x14ac:dyDescent="0.2"/>
    <row r="486" s="13" customFormat="1" x14ac:dyDescent="0.2"/>
    <row r="487" s="13" customFormat="1" x14ac:dyDescent="0.2"/>
    <row r="488" s="13" customFormat="1" x14ac:dyDescent="0.2"/>
    <row r="489" s="13" customFormat="1" x14ac:dyDescent="0.2"/>
    <row r="490" s="13" customFormat="1" x14ac:dyDescent="0.2"/>
    <row r="491" s="13" customFormat="1" x14ac:dyDescent="0.2"/>
    <row r="492" s="13" customFormat="1" x14ac:dyDescent="0.2"/>
    <row r="493" s="13" customFormat="1" x14ac:dyDescent="0.2"/>
    <row r="494" s="13" customFormat="1" x14ac:dyDescent="0.2"/>
    <row r="495" s="13" customFormat="1" x14ac:dyDescent="0.2"/>
    <row r="496" s="13" customFormat="1" x14ac:dyDescent="0.2"/>
    <row r="497" s="13" customFormat="1" x14ac:dyDescent="0.2"/>
    <row r="498" s="13" customFormat="1" x14ac:dyDescent="0.2"/>
    <row r="499" s="13" customFormat="1" x14ac:dyDescent="0.2"/>
    <row r="500" s="13" customFormat="1" x14ac:dyDescent="0.2"/>
    <row r="501" s="13" customFormat="1" x14ac:dyDescent="0.2"/>
    <row r="502" s="13" customFormat="1" x14ac:dyDescent="0.2"/>
    <row r="503" s="13" customFormat="1" x14ac:dyDescent="0.2"/>
    <row r="504" s="13" customFormat="1" x14ac:dyDescent="0.2"/>
    <row r="505" s="13" customFormat="1" x14ac:dyDescent="0.2"/>
    <row r="506" s="13" customFormat="1" x14ac:dyDescent="0.2"/>
    <row r="507" s="13" customFormat="1" x14ac:dyDescent="0.2"/>
    <row r="508" s="13" customFormat="1" x14ac:dyDescent="0.2"/>
    <row r="509" s="13" customFormat="1" x14ac:dyDescent="0.2"/>
    <row r="510" s="13" customFormat="1" x14ac:dyDescent="0.2"/>
    <row r="511" s="13" customFormat="1" x14ac:dyDescent="0.2"/>
    <row r="512" s="13" customFormat="1" x14ac:dyDescent="0.2"/>
    <row r="513" s="13" customFormat="1" x14ac:dyDescent="0.2"/>
    <row r="514" s="13" customFormat="1" x14ac:dyDescent="0.2"/>
    <row r="515" s="13" customFormat="1" x14ac:dyDescent="0.2"/>
    <row r="516" s="13" customFormat="1" x14ac:dyDescent="0.2"/>
    <row r="517" s="13" customFormat="1" x14ac:dyDescent="0.2"/>
    <row r="518" s="13" customFormat="1" x14ac:dyDescent="0.2"/>
    <row r="519" s="13" customFormat="1" x14ac:dyDescent="0.2"/>
    <row r="520" s="13" customFormat="1" x14ac:dyDescent="0.2"/>
    <row r="521" s="13" customFormat="1" x14ac:dyDescent="0.2"/>
    <row r="522" s="13" customFormat="1" x14ac:dyDescent="0.2"/>
    <row r="523" s="13" customFormat="1" x14ac:dyDescent="0.2"/>
    <row r="524" s="13" customFormat="1" x14ac:dyDescent="0.2"/>
    <row r="525" s="13" customFormat="1" x14ac:dyDescent="0.2"/>
    <row r="526" s="13" customFormat="1" x14ac:dyDescent="0.2"/>
    <row r="527" s="13" customFormat="1" x14ac:dyDescent="0.2"/>
    <row r="528" s="13" customFormat="1" x14ac:dyDescent="0.2"/>
    <row r="529" s="13" customFormat="1" x14ac:dyDescent="0.2"/>
    <row r="530" s="13" customFormat="1" x14ac:dyDescent="0.2"/>
    <row r="531" s="13" customFormat="1" x14ac:dyDescent="0.2"/>
    <row r="532" s="13" customFormat="1" x14ac:dyDescent="0.2"/>
    <row r="533" s="13" customFormat="1" x14ac:dyDescent="0.2"/>
    <row r="534" s="13" customFormat="1" x14ac:dyDescent="0.2"/>
    <row r="535" s="13" customFormat="1" x14ac:dyDescent="0.2"/>
    <row r="536" s="13" customFormat="1" x14ac:dyDescent="0.2"/>
    <row r="537" s="13" customFormat="1" x14ac:dyDescent="0.2"/>
    <row r="538" s="13" customFormat="1" x14ac:dyDescent="0.2"/>
    <row r="539" s="13" customFormat="1" x14ac:dyDescent="0.2"/>
    <row r="540" s="13" customFormat="1" x14ac:dyDescent="0.2"/>
    <row r="541" s="13" customFormat="1" x14ac:dyDescent="0.2"/>
    <row r="542" s="13" customFormat="1" x14ac:dyDescent="0.2"/>
    <row r="543" s="13" customFormat="1" x14ac:dyDescent="0.2"/>
    <row r="544" s="13" customFormat="1" x14ac:dyDescent="0.2"/>
    <row r="545" s="13" customFormat="1" x14ac:dyDescent="0.2"/>
    <row r="546" s="13" customFormat="1" x14ac:dyDescent="0.2"/>
    <row r="547" s="13" customFormat="1" x14ac:dyDescent="0.2"/>
    <row r="548" s="13" customFormat="1" x14ac:dyDescent="0.2"/>
    <row r="549" s="13" customFormat="1" x14ac:dyDescent="0.2"/>
    <row r="550" s="13" customFormat="1" x14ac:dyDescent="0.2"/>
    <row r="551" s="13" customFormat="1" x14ac:dyDescent="0.2"/>
    <row r="552" s="13" customFormat="1" x14ac:dyDescent="0.2"/>
    <row r="553" s="13" customFormat="1" x14ac:dyDescent="0.2"/>
    <row r="554" s="13" customFormat="1" x14ac:dyDescent="0.2"/>
    <row r="555" s="13" customFormat="1" x14ac:dyDescent="0.2"/>
    <row r="556" s="13" customFormat="1" x14ac:dyDescent="0.2"/>
  </sheetData>
  <sheetProtection password="DDCB" sheet="1" objects="1" scenarios="1" formatCells="0" selectLockedCells="1"/>
  <mergeCells count="3">
    <mergeCell ref="B20:C20"/>
    <mergeCell ref="B31:C31"/>
    <mergeCell ref="B38:F38"/>
  </mergeCells>
  <dataValidations count="8">
    <dataValidation type="list" allowBlank="1" showInputMessage="1" showErrorMessage="1" sqref="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formula1>"3,4,5"</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"Intervention Arm, Control Arm"</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"Phenprocoumon, Acenocoumarol"</formula1>
    </dataValidation>
    <dataValidation type="list" allowBlank="1" showInputMessage="1" showErrorMessage="1" error="You need to select one of the six options"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"*1/*1 (wild type), *1/*2, *1/*3, *2/*2, *2/*3, *3/*3, Unknown"</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formula1>"Yes,No"</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"GG (wild type), AG (heterozygous), AA (homozygous),Unknown"</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"Male, Female"</formula1>
    </dataValidation>
    <dataValidation type="decimal" allowBlank="1" showInputMessage="1" showErrorMessage="1" error="The INR value you entered is unreasable low or high. Please check the value" sqref="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ormula1>0.8</formula1>
      <formula2>20</formula2>
    </dataValidation>
  </dataValidation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defaultRowHeight="15" x14ac:dyDescent="0.25"/>
  <sheetData>
    <row r="1" spans="1:1" x14ac:dyDescent="0.25">
      <c r="A1" s="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s="65" t="s">
        <v>155</v>
      </c>
    </row>
    <row r="8" spans="1:1" x14ac:dyDescent="0.25">
      <c r="A8" t="s">
        <v>156</v>
      </c>
    </row>
    <row r="9" spans="1:1" x14ac:dyDescent="0.25">
      <c r="A9" s="66" t="s">
        <v>157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6" workbookViewId="0">
      <selection activeCell="B29" sqref="B29:B31"/>
    </sheetView>
  </sheetViews>
  <sheetFormatPr defaultRowHeight="15" x14ac:dyDescent="0.25"/>
  <cols>
    <col min="1" max="1" width="23.140625" customWidth="1"/>
    <col min="2" max="2" width="18.85546875" customWidth="1"/>
  </cols>
  <sheetData>
    <row r="1" spans="1:7" x14ac:dyDescent="0.25">
      <c r="A1" t="s">
        <v>129</v>
      </c>
    </row>
    <row r="3" spans="1:7" x14ac:dyDescent="0.25">
      <c r="A3" s="1" t="s">
        <v>0</v>
      </c>
      <c r="B3" s="1" t="s">
        <v>130</v>
      </c>
      <c r="C3" s="1" t="s">
        <v>131</v>
      </c>
    </row>
    <row r="4" spans="1:7" x14ac:dyDescent="0.25">
      <c r="A4" t="s">
        <v>1</v>
      </c>
      <c r="B4" t="s">
        <v>4</v>
      </c>
      <c r="C4">
        <v>0</v>
      </c>
      <c r="G4" s="64" t="s">
        <v>142</v>
      </c>
    </row>
    <row r="5" spans="1:7" x14ac:dyDescent="0.25">
      <c r="B5" t="s">
        <v>5</v>
      </c>
      <c r="C5">
        <v>-9.2999999999999999E-2</v>
      </c>
    </row>
    <row r="6" spans="1:7" x14ac:dyDescent="0.25">
      <c r="B6" t="s">
        <v>6</v>
      </c>
      <c r="C6">
        <v>-0.51900000000000002</v>
      </c>
    </row>
    <row r="7" spans="1:7" x14ac:dyDescent="0.25">
      <c r="B7" t="s">
        <v>7</v>
      </c>
      <c r="C7">
        <v>-0.435</v>
      </c>
    </row>
    <row r="8" spans="1:7" x14ac:dyDescent="0.25">
      <c r="B8" t="s">
        <v>8</v>
      </c>
      <c r="C8">
        <v>-0.46600000000000003</v>
      </c>
    </row>
    <row r="9" spans="1:7" x14ac:dyDescent="0.25">
      <c r="B9" t="s">
        <v>9</v>
      </c>
      <c r="C9">
        <v>-0.13750000000000001</v>
      </c>
    </row>
    <row r="10" spans="1:7" x14ac:dyDescent="0.25">
      <c r="A10" t="s">
        <v>2</v>
      </c>
      <c r="B10" t="s">
        <v>158</v>
      </c>
      <c r="C10">
        <v>0</v>
      </c>
    </row>
    <row r="11" spans="1:7" x14ac:dyDescent="0.25">
      <c r="B11" t="s">
        <v>159</v>
      </c>
      <c r="C11">
        <v>-0.57199999999999995</v>
      </c>
    </row>
    <row r="12" spans="1:7" x14ac:dyDescent="0.25">
      <c r="B12" t="s">
        <v>160</v>
      </c>
      <c r="C12">
        <v>-1.2669999999999999</v>
      </c>
    </row>
    <row r="13" spans="1:7" x14ac:dyDescent="0.25">
      <c r="A13" t="s">
        <v>132</v>
      </c>
      <c r="C13">
        <v>-2.7E-2</v>
      </c>
      <c r="D13" t="s">
        <v>139</v>
      </c>
    </row>
    <row r="14" spans="1:7" x14ac:dyDescent="0.25">
      <c r="A14" t="s">
        <v>133</v>
      </c>
      <c r="C14">
        <v>8.9999999999999993E-3</v>
      </c>
      <c r="D14" t="s">
        <v>140</v>
      </c>
    </row>
    <row r="15" spans="1:7" x14ac:dyDescent="0.25">
      <c r="A15" t="s">
        <v>134</v>
      </c>
      <c r="C15">
        <v>0.01</v>
      </c>
      <c r="D15" t="s">
        <v>141</v>
      </c>
    </row>
    <row r="16" spans="1:7" x14ac:dyDescent="0.25">
      <c r="A16" s="64" t="s">
        <v>27</v>
      </c>
      <c r="B16" t="s">
        <v>135</v>
      </c>
      <c r="C16">
        <v>0</v>
      </c>
    </row>
    <row r="17" spans="1:7" x14ac:dyDescent="0.25">
      <c r="B17" t="s">
        <v>136</v>
      </c>
      <c r="C17">
        <v>0.27100000000000002</v>
      </c>
    </row>
    <row r="18" spans="1:7" x14ac:dyDescent="0.25">
      <c r="A18" t="s">
        <v>28</v>
      </c>
      <c r="B18" t="s">
        <v>137</v>
      </c>
      <c r="C18">
        <v>0</v>
      </c>
    </row>
    <row r="19" spans="1:7" x14ac:dyDescent="0.25">
      <c r="B19" t="s">
        <v>138</v>
      </c>
      <c r="C19">
        <v>-0.377</v>
      </c>
    </row>
    <row r="22" spans="1:7" x14ac:dyDescent="0.25">
      <c r="A22" s="1" t="s">
        <v>10</v>
      </c>
      <c r="B22" s="1" t="s">
        <v>130</v>
      </c>
      <c r="C22" s="1" t="s">
        <v>131</v>
      </c>
      <c r="G22" s="64" t="s">
        <v>143</v>
      </c>
    </row>
    <row r="23" spans="1:7" x14ac:dyDescent="0.25">
      <c r="A23" t="s">
        <v>1</v>
      </c>
      <c r="B23" t="s">
        <v>4</v>
      </c>
      <c r="C23">
        <v>0</v>
      </c>
    </row>
    <row r="24" spans="1:7" x14ac:dyDescent="0.25">
      <c r="B24" t="s">
        <v>5</v>
      </c>
      <c r="C24">
        <v>-0.25900000000000001</v>
      </c>
    </row>
    <row r="25" spans="1:7" x14ac:dyDescent="0.25">
      <c r="B25" t="s">
        <v>6</v>
      </c>
      <c r="C25">
        <v>-0.34200000000000003</v>
      </c>
    </row>
    <row r="26" spans="1:7" x14ac:dyDescent="0.25">
      <c r="B26" t="s">
        <v>7</v>
      </c>
      <c r="C26">
        <v>-0.44700000000000001</v>
      </c>
    </row>
    <row r="27" spans="1:7" x14ac:dyDescent="0.25">
      <c r="B27" t="s">
        <v>8</v>
      </c>
      <c r="C27">
        <v>-0.68400000000000005</v>
      </c>
    </row>
    <row r="28" spans="1:7" x14ac:dyDescent="0.25">
      <c r="B28" t="s">
        <v>9</v>
      </c>
      <c r="C28">
        <v>-0.68100000000000005</v>
      </c>
    </row>
    <row r="29" spans="1:7" x14ac:dyDescent="0.25">
      <c r="A29" t="s">
        <v>2</v>
      </c>
      <c r="B29" t="s">
        <v>158</v>
      </c>
      <c r="C29">
        <v>0</v>
      </c>
    </row>
    <row r="30" spans="1:7" x14ac:dyDescent="0.25">
      <c r="B30" t="s">
        <v>159</v>
      </c>
      <c r="C30">
        <v>-0.60099999999999998</v>
      </c>
    </row>
    <row r="31" spans="1:7" x14ac:dyDescent="0.25">
      <c r="B31" t="s">
        <v>160</v>
      </c>
      <c r="C31">
        <v>-1.3939999999999999</v>
      </c>
    </row>
    <row r="32" spans="1:7" x14ac:dyDescent="0.25">
      <c r="A32" t="s">
        <v>132</v>
      </c>
      <c r="C32">
        <v>-1.4999999999999999E-2</v>
      </c>
      <c r="D32" t="s">
        <v>139</v>
      </c>
    </row>
    <row r="33" spans="1:4" x14ac:dyDescent="0.25">
      <c r="A33" t="s">
        <v>133</v>
      </c>
      <c r="C33">
        <v>1.0999999999999999E-2</v>
      </c>
      <c r="D33" t="s">
        <v>140</v>
      </c>
    </row>
    <row r="34" spans="1:4" x14ac:dyDescent="0.25">
      <c r="A34" t="s">
        <v>134</v>
      </c>
      <c r="C34">
        <v>8.0000000000000002E-3</v>
      </c>
      <c r="D34" t="s">
        <v>141</v>
      </c>
    </row>
    <row r="35" spans="1:4" x14ac:dyDescent="0.25">
      <c r="A35" s="64" t="s">
        <v>27</v>
      </c>
      <c r="B35" t="s">
        <v>135</v>
      </c>
      <c r="C35">
        <v>0</v>
      </c>
    </row>
    <row r="36" spans="1:4" x14ac:dyDescent="0.25">
      <c r="B36" t="s">
        <v>136</v>
      </c>
      <c r="C36">
        <v>2.5999999999999999E-2</v>
      </c>
    </row>
    <row r="37" spans="1:4" x14ac:dyDescent="0.25">
      <c r="A37" t="s">
        <v>28</v>
      </c>
      <c r="B37" t="s">
        <v>137</v>
      </c>
      <c r="C37">
        <v>0</v>
      </c>
    </row>
    <row r="38" spans="1:4" x14ac:dyDescent="0.25">
      <c r="B38" t="s">
        <v>138</v>
      </c>
      <c r="C38">
        <v>-0.34499999999999997</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D31" sqref="D31"/>
    </sheetView>
  </sheetViews>
  <sheetFormatPr defaultRowHeight="15" x14ac:dyDescent="0.25"/>
  <cols>
    <col min="1" max="1" width="32.85546875" customWidth="1"/>
    <col min="2" max="2" width="15.42578125" customWidth="1"/>
    <col min="3" max="3" width="15.42578125" bestFit="1" customWidth="1"/>
    <col min="4" max="4" width="16" customWidth="1"/>
  </cols>
  <sheetData>
    <row r="1" spans="1:4" x14ac:dyDescent="0.25">
      <c r="A1" t="s">
        <v>0</v>
      </c>
    </row>
    <row r="2" spans="1:4" x14ac:dyDescent="0.25">
      <c r="A2" s="1" t="s">
        <v>144</v>
      </c>
      <c r="B2" s="1" t="s">
        <v>145</v>
      </c>
      <c r="C2" s="1" t="s">
        <v>146</v>
      </c>
      <c r="D2" s="1" t="s">
        <v>147</v>
      </c>
    </row>
    <row r="3" spans="1:4" x14ac:dyDescent="0.25">
      <c r="A3" t="s">
        <v>116</v>
      </c>
      <c r="B3">
        <v>1</v>
      </c>
      <c r="C3">
        <v>1</v>
      </c>
      <c r="D3">
        <v>1</v>
      </c>
    </row>
    <row r="4" spans="1:4" x14ac:dyDescent="0.25">
      <c r="A4" t="s">
        <v>117</v>
      </c>
      <c r="B4">
        <v>2</v>
      </c>
      <c r="C4">
        <v>1</v>
      </c>
      <c r="D4">
        <v>1</v>
      </c>
    </row>
    <row r="5" spans="1:4" x14ac:dyDescent="0.25">
      <c r="A5" t="s">
        <v>118</v>
      </c>
      <c r="B5">
        <v>2</v>
      </c>
      <c r="C5">
        <v>2</v>
      </c>
      <c r="D5">
        <v>1</v>
      </c>
    </row>
    <row r="6" spans="1:4" x14ac:dyDescent="0.25">
      <c r="A6" t="s">
        <v>119</v>
      </c>
      <c r="B6">
        <v>2</v>
      </c>
      <c r="C6">
        <v>2</v>
      </c>
      <c r="D6">
        <v>2</v>
      </c>
    </row>
    <row r="7" spans="1:4" x14ac:dyDescent="0.25">
      <c r="A7" t="s">
        <v>120</v>
      </c>
      <c r="B7">
        <v>3</v>
      </c>
      <c r="C7">
        <v>2</v>
      </c>
      <c r="D7">
        <v>2</v>
      </c>
    </row>
    <row r="8" spans="1:4" x14ac:dyDescent="0.25">
      <c r="A8" t="s">
        <v>121</v>
      </c>
      <c r="B8">
        <v>3</v>
      </c>
      <c r="C8">
        <v>3</v>
      </c>
      <c r="D8">
        <v>2</v>
      </c>
    </row>
    <row r="9" spans="1:4" x14ac:dyDescent="0.25">
      <c r="A9" t="s">
        <v>122</v>
      </c>
      <c r="B9">
        <v>3</v>
      </c>
      <c r="C9">
        <v>3</v>
      </c>
      <c r="D9">
        <v>3</v>
      </c>
    </row>
    <row r="10" spans="1:4" x14ac:dyDescent="0.25">
      <c r="A10" t="s">
        <v>123</v>
      </c>
      <c r="B10">
        <v>4</v>
      </c>
      <c r="C10">
        <v>3</v>
      </c>
      <c r="D10">
        <v>3</v>
      </c>
    </row>
    <row r="11" spans="1:4" x14ac:dyDescent="0.25">
      <c r="A11" t="s">
        <v>124</v>
      </c>
      <c r="B11">
        <v>4</v>
      </c>
      <c r="C11">
        <v>4</v>
      </c>
      <c r="D11">
        <v>3</v>
      </c>
    </row>
    <row r="12" spans="1:4" x14ac:dyDescent="0.25">
      <c r="A12" t="s">
        <v>125</v>
      </c>
      <c r="B12">
        <v>4</v>
      </c>
      <c r="C12">
        <v>4</v>
      </c>
      <c r="D12">
        <v>4</v>
      </c>
    </row>
    <row r="13" spans="1:4" x14ac:dyDescent="0.25">
      <c r="A13" t="s">
        <v>126</v>
      </c>
      <c r="B13">
        <v>5</v>
      </c>
      <c r="C13">
        <v>4</v>
      </c>
      <c r="D13">
        <v>4</v>
      </c>
    </row>
    <row r="14" spans="1:4" x14ac:dyDescent="0.25">
      <c r="A14" t="s">
        <v>127</v>
      </c>
      <c r="B14">
        <v>5</v>
      </c>
      <c r="C14">
        <v>5</v>
      </c>
      <c r="D14">
        <v>4</v>
      </c>
    </row>
    <row r="15" spans="1:4" x14ac:dyDescent="0.25">
      <c r="A15" t="s">
        <v>128</v>
      </c>
      <c r="B15">
        <v>5</v>
      </c>
      <c r="C15">
        <v>5</v>
      </c>
      <c r="D15">
        <v>5</v>
      </c>
    </row>
    <row r="17" spans="1:4" x14ac:dyDescent="0.25">
      <c r="A17" t="s">
        <v>148</v>
      </c>
    </row>
    <row r="18" spans="1:4" x14ac:dyDescent="0.25">
      <c r="A18" s="1" t="s">
        <v>144</v>
      </c>
      <c r="B18" s="1" t="s">
        <v>145</v>
      </c>
      <c r="C18" s="1" t="s">
        <v>146</v>
      </c>
      <c r="D18" s="1" t="s">
        <v>147</v>
      </c>
    </row>
    <row r="19" spans="1:4" x14ac:dyDescent="0.25">
      <c r="A19" t="s">
        <v>110</v>
      </c>
      <c r="B19">
        <v>3</v>
      </c>
      <c r="C19">
        <v>3</v>
      </c>
      <c r="D19">
        <v>3</v>
      </c>
    </row>
    <row r="20" spans="1:4" x14ac:dyDescent="0.25">
      <c r="A20" t="s">
        <v>111</v>
      </c>
      <c r="B20">
        <v>6</v>
      </c>
      <c r="C20">
        <v>3</v>
      </c>
      <c r="D20">
        <v>3</v>
      </c>
    </row>
    <row r="21" spans="1:4" x14ac:dyDescent="0.25">
      <c r="A21" t="s">
        <v>112</v>
      </c>
      <c r="B21">
        <v>6</v>
      </c>
      <c r="C21">
        <v>6</v>
      </c>
      <c r="D21">
        <v>3</v>
      </c>
    </row>
    <row r="22" spans="1:4" x14ac:dyDescent="0.25">
      <c r="A22" t="s">
        <v>113</v>
      </c>
      <c r="B22">
        <v>6</v>
      </c>
      <c r="C22">
        <v>6</v>
      </c>
      <c r="D22">
        <v>6</v>
      </c>
    </row>
    <row r="23" spans="1:4" x14ac:dyDescent="0.25">
      <c r="A23" t="s">
        <v>114</v>
      </c>
      <c r="B23">
        <v>9</v>
      </c>
      <c r="C23">
        <v>6</v>
      </c>
      <c r="D23">
        <v>6</v>
      </c>
    </row>
    <row r="24" spans="1:4" x14ac:dyDescent="0.25">
      <c r="A24" t="s">
        <v>115</v>
      </c>
      <c r="B24">
        <v>9</v>
      </c>
      <c r="C24">
        <v>9</v>
      </c>
      <c r="D24">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EU-PACT Dose Calculator</vt:lpstr>
      <vt:lpstr>Information EU-PACT</vt:lpstr>
      <vt:lpstr>Formula maintenance dose</vt:lpstr>
      <vt:lpstr>Formula loading dose</vt:lpstr>
    </vt:vector>
  </TitlesOfParts>
  <Company>KNMP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van Rhenen</dc:creator>
  <cp:lastModifiedBy>Marga Nijenhuis</cp:lastModifiedBy>
  <dcterms:created xsi:type="dcterms:W3CDTF">2015-11-18T13:08:59Z</dcterms:created>
  <dcterms:modified xsi:type="dcterms:W3CDTF">2018-11-08T11:50:15Z</dcterms:modified>
</cp:coreProperties>
</file>