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-Standaard\Farmacogenetica\VKORC1\warfarin\"/>
    </mc:Choice>
  </mc:AlternateContent>
  <bookViews>
    <workbookView xWindow="0" yWindow="0" windowWidth="15360" windowHeight="7305"/>
  </bookViews>
  <sheets>
    <sheet name="Algorithm" sheetId="1" r:id="rId1"/>
    <sheet name="Intermediate calculations" sheetId="2" r:id="rId2"/>
    <sheet name="EU-PACT algorithm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E7" i="2"/>
  <c r="D7" i="2"/>
  <c r="C7" i="2"/>
  <c r="C8" i="2"/>
  <c r="C9" i="2"/>
  <c r="C10" i="2"/>
  <c r="E10" i="2" s="1"/>
  <c r="C11" i="2"/>
  <c r="C12" i="2"/>
  <c r="E12" i="2" s="1"/>
  <c r="E8" i="2"/>
  <c r="D12" i="2"/>
  <c r="F8" i="2"/>
  <c r="E9" i="2"/>
  <c r="F9" i="2"/>
  <c r="E11" i="2"/>
  <c r="F11" i="2"/>
  <c r="D8" i="2" l="1"/>
  <c r="F12" i="2"/>
  <c r="F10" i="2"/>
  <c r="D11" i="2"/>
  <c r="D10" i="2"/>
  <c r="D9" i="2"/>
  <c r="E17" i="2" l="1"/>
  <c r="C17" i="2"/>
  <c r="F17" i="2"/>
  <c r="D17" i="2"/>
  <c r="B17" i="2"/>
  <c r="A17" i="2"/>
  <c r="C25" i="2" l="1"/>
  <c r="C26" i="1" s="1"/>
  <c r="C26" i="2" l="1"/>
  <c r="C27" i="1" s="1"/>
  <c r="C21" i="2" l="1"/>
  <c r="C22" i="1" s="1"/>
  <c r="C22" i="2"/>
  <c r="C23" i="1" s="1"/>
  <c r="C23" i="2"/>
  <c r="C24" i="1" s="1"/>
</calcChain>
</file>

<file path=xl/sharedStrings.xml><?xml version="1.0" encoding="utf-8"?>
<sst xmlns="http://schemas.openxmlformats.org/spreadsheetml/2006/main" count="99" uniqueCount="82">
  <si>
    <t>CYP2C9 *2</t>
  </si>
  <si>
    <t>CYP2C9*3</t>
  </si>
  <si>
    <t>VKORC1 1173T ~</t>
  </si>
  <si>
    <t>mg</t>
  </si>
  <si>
    <t xml:space="preserve">genotype </t>
  </si>
  <si>
    <t>*1/*1</t>
  </si>
  <si>
    <t>*1/*2</t>
  </si>
  <si>
    <t>*1/*3</t>
  </si>
  <si>
    <t>*2/*2</t>
  </si>
  <si>
    <t>*2/*3</t>
  </si>
  <si>
    <t>*3/*3</t>
  </si>
  <si>
    <t>k</t>
  </si>
  <si>
    <t>mg/week</t>
  </si>
  <si>
    <t>(using the EU-PACT-algorithm (for more information see page 3))</t>
  </si>
  <si>
    <t>Directions for use:</t>
  </si>
  <si>
    <t>Insert the characteristics of the patient in the table below.</t>
  </si>
  <si>
    <t>Characteristics of the patient:</t>
  </si>
  <si>
    <t xml:space="preserve">       number of variant alleles</t>
  </si>
  <si>
    <t>(0 = absent or unknown,</t>
  </si>
  <si>
    <t>1 = heterozygous, 2 = homozygous)</t>
  </si>
  <si>
    <t xml:space="preserve"> (y = yes, n = no)</t>
  </si>
  <si>
    <t>age in years</t>
  </si>
  <si>
    <t>height in cm</t>
  </si>
  <si>
    <t>weight in kg</t>
  </si>
  <si>
    <t>use of amiodaron</t>
  </si>
  <si>
    <t>~ The VKORC1 1173T allele</t>
  </si>
  <si>
    <t xml:space="preserve">   corresponds with the</t>
  </si>
  <si>
    <t xml:space="preserve">   VKORC1 -1639A allele.</t>
  </si>
  <si>
    <t>Rounded calculated doses for this patient:</t>
  </si>
  <si>
    <t>(For the unrounded calculated doses see page 2.)</t>
  </si>
  <si>
    <t>Initiation dose   day 1</t>
  </si>
  <si>
    <t xml:space="preserve">        day 2</t>
  </si>
  <si>
    <t xml:space="preserve">        day 3</t>
  </si>
  <si>
    <t>Intermediate calculations</t>
  </si>
  <si>
    <t>Genotypespecific correction factors for the initiation doses:</t>
  </si>
  <si>
    <t>CYP2C9 genotype of this patiënt:</t>
  </si>
  <si>
    <t>(WAAR = TRUE; ONWAAR = UNTRUE)</t>
  </si>
  <si>
    <t>Unrounded calculated doses for the patient:</t>
  </si>
  <si>
    <t>Algorithm:</t>
  </si>
  <si>
    <t>With:</t>
  </si>
  <si>
    <t>k = elimination rate constant</t>
  </si>
  <si>
    <t>*1/*1: k = 0.0189</t>
  </si>
  <si>
    <t>*1/*2: k = 0.0158</t>
  </si>
  <si>
    <t>*1/*3: k = 0.0132</t>
  </si>
  <si>
    <t>*2/*2: k = 0.0130</t>
  </si>
  <si>
    <t>*2/*3: k = 0.009</t>
  </si>
  <si>
    <t>*3/*3: k = 0.0075</t>
  </si>
  <si>
    <t xml:space="preserve">√ Predicted maintenance dose (mg/week) = </t>
  </si>
  <si>
    <t xml:space="preserve">[5.6044 - 0.02614 x age (in years) + 0.0087 x height (in cm) + 0.0128 x weight (in kg) </t>
  </si>
  <si>
    <t>- 0.8677 (if VKORC1 CT) - 1.6974 (if VKORC1 TT) - 0.5211 (if CYP2C9 *1/*2) - 0.9357 (if CYP2C9 *1/*3)</t>
  </si>
  <si>
    <t xml:space="preserve">- 1.0616 (if CYP2C9*2/*2) - 1.9206 (if CYP2C9*2/*3) - 2.3312 (if CYP2C9*3/*3) </t>
  </si>
  <si>
    <t>- 0.5503 (if amiodaron is used)]</t>
  </si>
  <si>
    <t>Background information on the EU-PACT-algorithm:</t>
  </si>
  <si>
    <t>The EU-PACT-algorithm combines genetic and other clinical characteristics of the patient.</t>
  </si>
  <si>
    <t>It is designed for use in European adults, i.e. in (predominantly) Caucasian adults.</t>
  </si>
  <si>
    <t>The suitability of the algorithm for patients with another ethnicity or for children is not determined.</t>
  </si>
  <si>
    <t>The algorithm contains only the most prevalent CYP2C9 alleles *2 and *3.</t>
  </si>
  <si>
    <t>For this reason, it is not suited for use in Caucasian patients with another allele leading to diminished CYP2C9 activity.</t>
  </si>
  <si>
    <t>The initiation dose calculated by the algorithm is based on the half life of S-warfarin.</t>
  </si>
  <si>
    <t xml:space="preserve">The initiation dose is divided over 3 days to minimize the risk of of the INR overshooting the target therapeutic range. </t>
  </si>
  <si>
    <t>Simulations show that the calculated initiation dose diminishes the time to a stable, therapeutic INR for patients with variant CYP2C9 alleles.</t>
  </si>
  <si>
    <t>Calculation of genotypespecific warfarin loading doses</t>
  </si>
  <si>
    <t>After doing this, the initiation doses calculated for this patient appear in the bottom table.</t>
  </si>
  <si>
    <t>(Maintenance dose</t>
  </si>
  <si>
    <t>mg/day)</t>
  </si>
  <si>
    <r>
      <t>Initiation doses (Avery et al, 2011)</t>
    </r>
    <r>
      <rPr>
        <sz val="11"/>
        <color rgb="FF000000"/>
        <rFont val="Calibri"/>
        <family val="2"/>
        <scheme val="minor"/>
      </rPr>
      <t>:</t>
    </r>
  </si>
  <si>
    <r>
      <t>Maintenance dose (slightly modified IWPC model (IWPC, 2009))</t>
    </r>
    <r>
      <rPr>
        <sz val="11"/>
        <color rgb="FF000000"/>
        <rFont val="Calibri"/>
        <family val="2"/>
        <scheme val="minor"/>
      </rPr>
      <t>:</t>
    </r>
  </si>
  <si>
    <t>Loading on Day 1: (LD3-D) x 1.5 + D</t>
  </si>
  <si>
    <t>Loading on Day 3: (LD3-D) x 0.5 + D</t>
  </si>
  <si>
    <t>Loading on Day 2: (LD3-D) x 1 + D</t>
  </si>
  <si>
    <t>D = the calculated maintenance dose for the patient</t>
  </si>
  <si>
    <t>The loading dose was divided over the first 3 days as followed:</t>
  </si>
  <si>
    <t>Loading over three days was calculated as followed: LD3=D/(1- exp(-24κ))(1+ exp(-24κ)+ exp(-48κ)).</t>
  </si>
  <si>
    <t>(a = 3 day loading dose/maintenance dose)</t>
  </si>
  <si>
    <t>a</t>
  </si>
  <si>
    <t xml:space="preserve">day 1 </t>
  </si>
  <si>
    <t>day 2</t>
  </si>
  <si>
    <t xml:space="preserve">day 3 </t>
  </si>
  <si>
    <t>(0.5a+0.5)</t>
  </si>
  <si>
    <t>(1.5a-0.5)</t>
  </si>
  <si>
    <r>
      <t xml:space="preserve">EU-PACT-algorithm </t>
    </r>
    <r>
      <rPr>
        <b/>
        <sz val="10"/>
        <color theme="1"/>
        <rFont val="Calibri"/>
        <family val="2"/>
        <scheme val="minor"/>
      </rPr>
      <t>(Pirmohamed et al. N Engl J Med 2013;369:2294-303.):</t>
    </r>
  </si>
  <si>
    <t>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</si>
</sst>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0" fillId="0" borderId="0" xfId="0" applyNumberFormat="1"/>
    <xf numFmtId="49" fontId="4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textRotation="45"/>
    </xf>
    <xf numFmtId="0" fontId="2" fillId="2" borderId="0" xfId="0" applyFont="1" applyFill="1" applyAlignment="1">
      <alignment textRotation="45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Font="1"/>
    <xf numFmtId="164" fontId="7" fillId="0" borderId="2" xfId="0" applyNumberFormat="1" applyFont="1" applyFill="1" applyBorder="1"/>
    <xf numFmtId="164" fontId="0" fillId="0" borderId="0" xfId="0" applyNumberFormat="1"/>
    <xf numFmtId="0" fontId="8" fillId="0" borderId="0" xfId="0" applyFont="1"/>
    <xf numFmtId="0" fontId="0" fillId="0" borderId="0" xfId="0" applyBorder="1"/>
    <xf numFmtId="164" fontId="0" fillId="0" borderId="2" xfId="0" applyNumberFormat="1" applyBorder="1"/>
    <xf numFmtId="2" fontId="0" fillId="0" borderId="0" xfId="0" applyNumberFormat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28" sqref="G28"/>
    </sheetView>
  </sheetViews>
  <sheetFormatPr defaultRowHeight="15" x14ac:dyDescent="0.25"/>
  <cols>
    <col min="1" max="1" width="10.5703125" customWidth="1"/>
    <col min="2" max="2" width="10.28515625" customWidth="1"/>
    <col min="3" max="3" width="10.7109375" customWidth="1"/>
    <col min="4" max="4" width="10.5703125" customWidth="1"/>
    <col min="5" max="5" width="11.140625" customWidth="1"/>
    <col min="6" max="6" width="10.7109375" customWidth="1"/>
    <col min="7" max="7" width="14.7109375" customWidth="1"/>
  </cols>
  <sheetData>
    <row r="1" spans="1:7" ht="18.75" x14ac:dyDescent="0.3">
      <c r="A1" s="1" t="s">
        <v>61</v>
      </c>
    </row>
    <row r="2" spans="1:7" x14ac:dyDescent="0.25">
      <c r="A2" t="s">
        <v>13</v>
      </c>
    </row>
    <row r="4" spans="1:7" x14ac:dyDescent="0.25">
      <c r="A4" s="2" t="s">
        <v>14</v>
      </c>
    </row>
    <row r="5" spans="1:7" x14ac:dyDescent="0.25">
      <c r="A5" t="s">
        <v>15</v>
      </c>
    </row>
    <row r="6" spans="1:7" x14ac:dyDescent="0.25">
      <c r="A6" t="s">
        <v>62</v>
      </c>
    </row>
    <row r="8" spans="1:7" x14ac:dyDescent="0.25">
      <c r="A8" s="2" t="s">
        <v>16</v>
      </c>
    </row>
    <row r="9" spans="1:7" ht="17.25" customHeight="1" x14ac:dyDescent="0.25">
      <c r="A9" s="8"/>
      <c r="B9" s="8"/>
      <c r="C9" s="8"/>
      <c r="D9" s="8" t="s">
        <v>17</v>
      </c>
      <c r="E9" s="8"/>
      <c r="F9" s="8"/>
      <c r="G9" s="8"/>
    </row>
    <row r="10" spans="1:7" ht="17.25" customHeight="1" x14ac:dyDescent="0.25">
      <c r="A10" s="8"/>
      <c r="B10" s="8"/>
      <c r="C10" s="8"/>
      <c r="D10" s="8" t="s">
        <v>18</v>
      </c>
      <c r="E10" s="8"/>
      <c r="F10" s="8"/>
      <c r="G10" s="8"/>
    </row>
    <row r="11" spans="1:7" ht="17.25" customHeight="1" x14ac:dyDescent="0.25">
      <c r="A11" s="8"/>
      <c r="B11" s="8"/>
      <c r="C11" s="8"/>
      <c r="D11" s="8" t="s">
        <v>19</v>
      </c>
      <c r="E11" s="8"/>
      <c r="F11" s="8"/>
      <c r="G11" s="8" t="s">
        <v>20</v>
      </c>
    </row>
    <row r="12" spans="1:7" ht="70.5" x14ac:dyDescent="0.25">
      <c r="A12" s="9" t="s">
        <v>21</v>
      </c>
      <c r="B12" s="9" t="s">
        <v>22</v>
      </c>
      <c r="C12" s="9" t="s">
        <v>23</v>
      </c>
      <c r="D12" s="9" t="s">
        <v>2</v>
      </c>
      <c r="E12" s="9" t="s">
        <v>0</v>
      </c>
      <c r="F12" s="9" t="s">
        <v>1</v>
      </c>
      <c r="G12" s="10" t="s">
        <v>24</v>
      </c>
    </row>
    <row r="13" spans="1:7" x14ac:dyDescent="0.25">
      <c r="A13" s="11"/>
      <c r="B13" s="11"/>
      <c r="C13" s="11"/>
      <c r="D13" s="11"/>
      <c r="E13" s="11"/>
      <c r="F13" s="11"/>
      <c r="G13" s="12"/>
    </row>
    <row r="15" spans="1:7" x14ac:dyDescent="0.25">
      <c r="D15" t="s">
        <v>25</v>
      </c>
    </row>
    <row r="16" spans="1:7" x14ac:dyDescent="0.25">
      <c r="D16" t="s">
        <v>26</v>
      </c>
    </row>
    <row r="17" spans="1:4" x14ac:dyDescent="0.25">
      <c r="D17" t="s">
        <v>27</v>
      </c>
    </row>
    <row r="20" spans="1:4" x14ac:dyDescent="0.25">
      <c r="A20" s="2" t="s">
        <v>28</v>
      </c>
    </row>
    <row r="21" spans="1:4" x14ac:dyDescent="0.25">
      <c r="A21" t="s">
        <v>29</v>
      </c>
    </row>
    <row r="22" spans="1:4" x14ac:dyDescent="0.25">
      <c r="A22" s="8" t="s">
        <v>30</v>
      </c>
      <c r="B22" s="8"/>
      <c r="C22" s="20">
        <f>ROUND(2*'Intermediate calculations'!C21,0)/2</f>
        <v>7</v>
      </c>
      <c r="D22" s="13" t="s">
        <v>3</v>
      </c>
    </row>
    <row r="23" spans="1:4" x14ac:dyDescent="0.25">
      <c r="A23" s="8"/>
      <c r="B23" s="8" t="s">
        <v>31</v>
      </c>
      <c r="C23" s="20">
        <f>ROUND(2*'Intermediate calculations'!C22,0)/2</f>
        <v>6</v>
      </c>
      <c r="D23" s="13" t="s">
        <v>3</v>
      </c>
    </row>
    <row r="24" spans="1:4" x14ac:dyDescent="0.25">
      <c r="A24" s="8"/>
      <c r="B24" s="8" t="s">
        <v>32</v>
      </c>
      <c r="C24" s="20">
        <f>ROUND(2*'Intermediate calculations'!C23,0)/2</f>
        <v>5.5</v>
      </c>
      <c r="D24" s="13" t="s">
        <v>3</v>
      </c>
    </row>
    <row r="25" spans="1:4" x14ac:dyDescent="0.25">
      <c r="A25" s="8"/>
      <c r="B25" s="8"/>
      <c r="C25" s="20"/>
      <c r="D25" s="13"/>
    </row>
    <row r="26" spans="1:4" x14ac:dyDescent="0.25">
      <c r="A26" s="8" t="s">
        <v>63</v>
      </c>
      <c r="B26" s="8"/>
      <c r="C26" s="20">
        <f>ROUND(2*'Intermediate calculations'!C25,0)/2</f>
        <v>31.5</v>
      </c>
      <c r="D26" s="13" t="s">
        <v>12</v>
      </c>
    </row>
    <row r="27" spans="1:4" ht="15" customHeight="1" x14ac:dyDescent="0.25">
      <c r="A27" s="8"/>
      <c r="B27" s="8"/>
      <c r="C27" s="20">
        <f>ROUND(2*'Intermediate calculations'!C26,0)/2</f>
        <v>4.5</v>
      </c>
      <c r="D27" s="13" t="s">
        <v>64</v>
      </c>
    </row>
    <row r="30" spans="1:4" x14ac:dyDescent="0.25">
      <c r="C30" s="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34" sqref="C34"/>
    </sheetView>
  </sheetViews>
  <sheetFormatPr defaultRowHeight="15" x14ac:dyDescent="0.25"/>
  <cols>
    <col min="1" max="2" width="10.7109375" customWidth="1"/>
    <col min="3" max="3" width="10.85546875" customWidth="1"/>
    <col min="4" max="4" width="11.140625" customWidth="1"/>
    <col min="5" max="5" width="13.28515625" customWidth="1"/>
    <col min="6" max="6" width="12.28515625" customWidth="1"/>
  </cols>
  <sheetData>
    <row r="1" spans="1:8" ht="18.75" x14ac:dyDescent="0.3">
      <c r="A1" s="1" t="s">
        <v>33</v>
      </c>
      <c r="B1" s="1"/>
    </row>
    <row r="3" spans="1:8" x14ac:dyDescent="0.25">
      <c r="A3" s="2" t="s">
        <v>34</v>
      </c>
      <c r="B3" s="2"/>
    </row>
    <row r="4" spans="1:8" x14ac:dyDescent="0.25">
      <c r="A4" s="15" t="s">
        <v>73</v>
      </c>
      <c r="B4" s="15"/>
    </row>
    <row r="5" spans="1:8" x14ac:dyDescent="0.25">
      <c r="A5" s="8"/>
      <c r="B5" s="8"/>
      <c r="C5" s="8"/>
      <c r="D5" s="8" t="s">
        <v>75</v>
      </c>
      <c r="E5" s="8" t="s">
        <v>76</v>
      </c>
      <c r="F5" s="8" t="s">
        <v>77</v>
      </c>
      <c r="H5" s="6"/>
    </row>
    <row r="6" spans="1:8" x14ac:dyDescent="0.25">
      <c r="A6" s="8" t="s">
        <v>4</v>
      </c>
      <c r="B6" s="8" t="s">
        <v>11</v>
      </c>
      <c r="C6" s="8" t="s">
        <v>74</v>
      </c>
      <c r="D6" s="8" t="s">
        <v>79</v>
      </c>
      <c r="E6" s="8" t="s">
        <v>81</v>
      </c>
      <c r="F6" s="8" t="s">
        <v>78</v>
      </c>
      <c r="H6" s="6"/>
    </row>
    <row r="7" spans="1:8" x14ac:dyDescent="0.25">
      <c r="A7" s="14" t="s">
        <v>5</v>
      </c>
      <c r="B7" s="14">
        <v>1.89E-2</v>
      </c>
      <c r="C7" s="14">
        <f>1/(1-EXP(-24*B7))/(1+EXP(-24*B7)+EXP(-48*B7))</f>
        <v>1.3449094720505919</v>
      </c>
      <c r="D7" s="14">
        <f>1.5*C7-0.5</f>
        <v>1.5173642080758878</v>
      </c>
      <c r="E7" s="14">
        <f>C7</f>
        <v>1.3449094720505919</v>
      </c>
      <c r="F7" s="14">
        <f>0.5*C7+0.5</f>
        <v>1.1724547360252959</v>
      </c>
      <c r="H7" s="6"/>
    </row>
    <row r="8" spans="1:8" x14ac:dyDescent="0.25">
      <c r="A8" s="14" t="s">
        <v>6</v>
      </c>
      <c r="B8" s="14">
        <v>1.5800000000000002E-2</v>
      </c>
      <c r="C8" s="14">
        <f t="shared" ref="C8:C12" si="0">1/(1-EXP(-24*B8))/(1+EXP(-24*B8)+EXP(-48*B8))</f>
        <v>1.4718598990537455</v>
      </c>
      <c r="D8" s="14">
        <f t="shared" ref="D8:D12" si="1">1.5*C8-0.5</f>
        <v>1.7077898485806182</v>
      </c>
      <c r="E8" s="14">
        <f t="shared" ref="E8:E12" si="2">C8</f>
        <v>1.4718598990537455</v>
      </c>
      <c r="F8" s="14">
        <f t="shared" ref="F8:F12" si="3">0.5*C8+0.5</f>
        <v>1.2359299495268727</v>
      </c>
      <c r="H8" s="6"/>
    </row>
    <row r="9" spans="1:8" x14ac:dyDescent="0.25">
      <c r="A9" s="14" t="s">
        <v>7</v>
      </c>
      <c r="B9" s="14">
        <v>1.32E-2</v>
      </c>
      <c r="C9" s="14">
        <f t="shared" si="0"/>
        <v>1.6302213245655957</v>
      </c>
      <c r="D9" s="14">
        <f t="shared" si="1"/>
        <v>1.9453319868483936</v>
      </c>
      <c r="E9" s="14">
        <f t="shared" si="2"/>
        <v>1.6302213245655957</v>
      </c>
      <c r="F9" s="14">
        <f t="shared" si="3"/>
        <v>1.3151106622827977</v>
      </c>
    </row>
    <row r="10" spans="1:8" x14ac:dyDescent="0.25">
      <c r="A10" s="14" t="s">
        <v>8</v>
      </c>
      <c r="B10" s="14">
        <v>1.2999999999999999E-2</v>
      </c>
      <c r="C10" s="14">
        <f t="shared" si="0"/>
        <v>1.6452603918163733</v>
      </c>
      <c r="D10" s="14">
        <f t="shared" si="1"/>
        <v>1.9678905877245598</v>
      </c>
      <c r="E10" s="14">
        <f t="shared" si="2"/>
        <v>1.6452603918163733</v>
      </c>
      <c r="F10" s="14">
        <f t="shared" si="3"/>
        <v>1.3226301959081868</v>
      </c>
    </row>
    <row r="11" spans="1:8" x14ac:dyDescent="0.25">
      <c r="A11" s="14" t="s">
        <v>9</v>
      </c>
      <c r="B11" s="14">
        <v>8.9999999999999993E-3</v>
      </c>
      <c r="C11" s="14">
        <f t="shared" si="0"/>
        <v>2.0968357019687636</v>
      </c>
      <c r="D11" s="14">
        <f t="shared" si="1"/>
        <v>2.6452535529531453</v>
      </c>
      <c r="E11" s="14">
        <f t="shared" si="2"/>
        <v>2.0968357019687636</v>
      </c>
      <c r="F11" s="14">
        <f t="shared" si="3"/>
        <v>1.5484178509843818</v>
      </c>
    </row>
    <row r="12" spans="1:8" x14ac:dyDescent="0.25">
      <c r="A12" s="14" t="s">
        <v>10</v>
      </c>
      <c r="B12" s="14">
        <v>7.4999999999999997E-3</v>
      </c>
      <c r="C12" s="14">
        <f t="shared" si="0"/>
        <v>2.3966346592664638</v>
      </c>
      <c r="D12" s="14">
        <f t="shared" si="1"/>
        <v>3.0949519888996955</v>
      </c>
      <c r="E12" s="14">
        <f t="shared" si="2"/>
        <v>2.3966346592664638</v>
      </c>
      <c r="F12" s="14">
        <f t="shared" si="3"/>
        <v>1.6983173296332319</v>
      </c>
    </row>
    <row r="13" spans="1:8" x14ac:dyDescent="0.25">
      <c r="A13" s="19"/>
      <c r="B13" s="19"/>
      <c r="C13" s="19"/>
      <c r="D13" s="19"/>
      <c r="E13" s="19"/>
      <c r="F13" s="19"/>
    </row>
    <row r="15" spans="1:8" x14ac:dyDescent="0.25">
      <c r="A15" s="18" t="s">
        <v>35</v>
      </c>
    </row>
    <row r="16" spans="1:8" x14ac:dyDescent="0.25">
      <c r="A16" s="8" t="s">
        <v>5</v>
      </c>
      <c r="B16" s="8" t="s">
        <v>6</v>
      </c>
      <c r="C16" s="8" t="s">
        <v>7</v>
      </c>
      <c r="D16" s="8" t="s">
        <v>8</v>
      </c>
      <c r="E16" s="8" t="s">
        <v>9</v>
      </c>
      <c r="F16" s="8" t="s">
        <v>10</v>
      </c>
    </row>
    <row r="17" spans="1:8" x14ac:dyDescent="0.25">
      <c r="A17" s="14" t="b">
        <f>AND(IF(Algorithm!E13=0,1,0),IF(Algorithm!F13=0,1,0))</f>
        <v>1</v>
      </c>
      <c r="B17" s="14" t="b">
        <f>AND(IF(Algorithm!E13=1,1,0),IF(Algorithm!F13=0,1,0))</f>
        <v>0</v>
      </c>
      <c r="C17" s="14" t="b">
        <f>AND(IF(Algorithm!E13=0,1,0),IF(Algorithm!F13=1,1,0))</f>
        <v>0</v>
      </c>
      <c r="D17" s="14" t="b">
        <f>IF(Algorithm!E13=2,TRUE,FALSE)</f>
        <v>0</v>
      </c>
      <c r="E17" s="14" t="b">
        <f>AND(IF(Algorithm!E13=1,1,0),IF(Algorithm!F13=1,1,0))</f>
        <v>0</v>
      </c>
      <c r="F17" s="14" t="b">
        <f>IF(Algorithm!F13=2,TRUE,FALSE)</f>
        <v>0</v>
      </c>
      <c r="H17" t="s">
        <v>36</v>
      </c>
    </row>
    <row r="20" spans="1:8" x14ac:dyDescent="0.25">
      <c r="A20" s="2" t="s">
        <v>37</v>
      </c>
    </row>
    <row r="21" spans="1:8" x14ac:dyDescent="0.25">
      <c r="A21" s="8" t="s">
        <v>30</v>
      </c>
      <c r="B21" s="8"/>
      <c r="C21" s="20">
        <f>C26*(D7*IF(A17=TRUE,1,0)+D8*IF(B17=TRUE,1,0)+D9*IF(C17=TRUE,1,0)+D10*IF(D17=TRUE,1,0)+D11*IF(E17=TRUE,1,0)+D12*IF(F17=TRUE,1,0))</f>
        <v>6.8084780928006996</v>
      </c>
      <c r="D21" s="13" t="s">
        <v>3</v>
      </c>
      <c r="F21" s="21"/>
    </row>
    <row r="22" spans="1:8" x14ac:dyDescent="0.25">
      <c r="A22" s="8"/>
      <c r="B22" s="8" t="s">
        <v>31</v>
      </c>
      <c r="C22" s="16">
        <f>C26*(E7*IF(A17=TRUE,1,0)+E8*IF(B17=TRUE,1,0)+E9*IF(C17=TRUE,1,0)+E10*IF(D17=TRUE,1,0)+E11*IF(E17=TRUE,1,0)+E12*IF(F17=TRUE,1,0))</f>
        <v>6.0346663171052288</v>
      </c>
      <c r="D22" s="13" t="s">
        <v>3</v>
      </c>
    </row>
    <row r="23" spans="1:8" x14ac:dyDescent="0.25">
      <c r="A23" s="8"/>
      <c r="B23" s="8" t="s">
        <v>32</v>
      </c>
      <c r="C23" s="16">
        <f>C26*(F7*IF(A17=TRUE,1,0)+F8*IF(B17=TRUE,1,0)+F9*IF(C17=TRUE,1,0)+F10*IF(D17=TRUE,1,0)+F11*IF(E17=TRUE,1,0)+F12*IF(F17=TRUE,1,0))</f>
        <v>5.2608545414097572</v>
      </c>
      <c r="D23" s="13" t="s">
        <v>3</v>
      </c>
    </row>
    <row r="24" spans="1:8" x14ac:dyDescent="0.25">
      <c r="A24" s="8"/>
      <c r="B24" s="8"/>
      <c r="C24" s="16"/>
      <c r="D24" s="13"/>
    </row>
    <row r="25" spans="1:8" x14ac:dyDescent="0.25">
      <c r="A25" s="8" t="s">
        <v>63</v>
      </c>
      <c r="B25" s="8"/>
      <c r="C25" s="16">
        <f>POWER((5.6044-0.02614*Algorithm!A13+0.0087*Algorithm!B13+0.0128*Algorithm!C13-0.8677*IF(Algorithm!D13=1,1,0)-1.6974*IF(Algorithm!D13=2,1,0)-0.5211*IF(B17=TRUE,1,0)-0.9357*IF(C17=TRUE,1,0)-1.0616*IF(D17=TRUE,1,0)-1.9206*IF(E17=TRUE,1,0)-2.3312*IF(F17=TRUE,1,0)-0.5503*IF(Algorithm!G13="y",1,0)),2)</f>
        <v>31.409299360000002</v>
      </c>
      <c r="D25" s="13" t="s">
        <v>12</v>
      </c>
    </row>
    <row r="26" spans="1:8" x14ac:dyDescent="0.25">
      <c r="A26" s="8"/>
      <c r="B26" s="8"/>
      <c r="C26" s="16">
        <f>C25/7</f>
        <v>4.4870427657142864</v>
      </c>
      <c r="D26" s="13" t="s">
        <v>64</v>
      </c>
    </row>
    <row r="29" spans="1:8" x14ac:dyDescent="0.25">
      <c r="B29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N29" sqref="N29"/>
    </sheetView>
  </sheetViews>
  <sheetFormatPr defaultRowHeight="15" x14ac:dyDescent="0.25"/>
  <sheetData>
    <row r="1" spans="1:1" ht="18.75" x14ac:dyDescent="0.3">
      <c r="A1" s="1" t="s">
        <v>80</v>
      </c>
    </row>
    <row r="2" spans="1:1" ht="18.75" x14ac:dyDescent="0.3">
      <c r="A2" s="1"/>
    </row>
    <row r="3" spans="1:1" x14ac:dyDescent="0.25">
      <c r="A3" s="5" t="s">
        <v>38</v>
      </c>
    </row>
    <row r="4" spans="1:1" x14ac:dyDescent="0.25">
      <c r="A4" s="4" t="s">
        <v>65</v>
      </c>
    </row>
    <row r="5" spans="1:1" x14ac:dyDescent="0.25">
      <c r="A5" s="3" t="s">
        <v>72</v>
      </c>
    </row>
    <row r="6" spans="1:1" x14ac:dyDescent="0.25">
      <c r="A6" s="3" t="s">
        <v>39</v>
      </c>
    </row>
    <row r="7" spans="1:1" ht="17.25" x14ac:dyDescent="0.25">
      <c r="A7" s="3" t="s">
        <v>70</v>
      </c>
    </row>
    <row r="8" spans="1:1" x14ac:dyDescent="0.25">
      <c r="A8" s="3" t="s">
        <v>40</v>
      </c>
    </row>
    <row r="9" spans="1:1" x14ac:dyDescent="0.25">
      <c r="A9" s="3" t="s">
        <v>41</v>
      </c>
    </row>
    <row r="10" spans="1:1" x14ac:dyDescent="0.25">
      <c r="A10" s="3" t="s">
        <v>42</v>
      </c>
    </row>
    <row r="11" spans="1:1" x14ac:dyDescent="0.25">
      <c r="A11" s="3" t="s">
        <v>43</v>
      </c>
    </row>
    <row r="12" spans="1:1" x14ac:dyDescent="0.25">
      <c r="A12" s="3" t="s">
        <v>44</v>
      </c>
    </row>
    <row r="13" spans="1:1" x14ac:dyDescent="0.25">
      <c r="A13" s="3" t="s">
        <v>45</v>
      </c>
    </row>
    <row r="14" spans="1:1" x14ac:dyDescent="0.25">
      <c r="A14" s="3" t="s">
        <v>46</v>
      </c>
    </row>
    <row r="15" spans="1:1" x14ac:dyDescent="0.25">
      <c r="A15" s="3" t="s">
        <v>71</v>
      </c>
    </row>
    <row r="16" spans="1:1" x14ac:dyDescent="0.25">
      <c r="A16" s="3" t="s">
        <v>67</v>
      </c>
    </row>
    <row r="17" spans="1:6" x14ac:dyDescent="0.25">
      <c r="A17" s="3" t="s">
        <v>69</v>
      </c>
    </row>
    <row r="18" spans="1:6" x14ac:dyDescent="0.25">
      <c r="A18" s="3" t="s">
        <v>68</v>
      </c>
    </row>
    <row r="19" spans="1:6" x14ac:dyDescent="0.25">
      <c r="A19" s="4" t="s">
        <v>66</v>
      </c>
    </row>
    <row r="20" spans="1:6" x14ac:dyDescent="0.25">
      <c r="A20" s="7" t="s">
        <v>47</v>
      </c>
      <c r="F20" s="6" t="s">
        <v>48</v>
      </c>
    </row>
    <row r="21" spans="1:6" x14ac:dyDescent="0.25">
      <c r="F21" s="6" t="s">
        <v>49</v>
      </c>
    </row>
    <row r="22" spans="1:6" x14ac:dyDescent="0.25">
      <c r="F22" s="6" t="s">
        <v>50</v>
      </c>
    </row>
    <row r="23" spans="1:6" x14ac:dyDescent="0.25">
      <c r="F23" s="6" t="s">
        <v>51</v>
      </c>
    </row>
    <row r="24" spans="1:6" x14ac:dyDescent="0.25">
      <c r="F24" s="6"/>
    </row>
    <row r="25" spans="1:6" x14ac:dyDescent="0.25">
      <c r="F25" s="6"/>
    </row>
    <row r="27" spans="1:6" x14ac:dyDescent="0.25">
      <c r="A27" s="2" t="s">
        <v>52</v>
      </c>
    </row>
    <row r="28" spans="1:6" x14ac:dyDescent="0.25">
      <c r="A28" t="s">
        <v>53</v>
      </c>
    </row>
    <row r="29" spans="1:6" x14ac:dyDescent="0.25">
      <c r="A29" t="s">
        <v>54</v>
      </c>
    </row>
    <row r="30" spans="1:6" x14ac:dyDescent="0.25">
      <c r="A30" t="s">
        <v>55</v>
      </c>
    </row>
    <row r="31" spans="1:6" x14ac:dyDescent="0.25">
      <c r="A31" t="s">
        <v>56</v>
      </c>
    </row>
    <row r="32" spans="1:6" x14ac:dyDescent="0.25">
      <c r="A32" t="s">
        <v>57</v>
      </c>
    </row>
    <row r="33" spans="1:1" x14ac:dyDescent="0.25">
      <c r="A33" t="s">
        <v>58</v>
      </c>
    </row>
    <row r="34" spans="1:1" x14ac:dyDescent="0.25">
      <c r="A34" s="22" t="s">
        <v>59</v>
      </c>
    </row>
    <row r="35" spans="1:1" x14ac:dyDescent="0.25">
      <c r="A3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Algorithm</vt:lpstr>
      <vt:lpstr>Intermediate calculations</vt:lpstr>
      <vt:lpstr>EU-PACT algorithm</vt:lpstr>
    </vt:vector>
  </TitlesOfParts>
  <Company>KNMP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 Nijenhuis</dc:creator>
  <cp:lastModifiedBy>Mandy van Rhenen</cp:lastModifiedBy>
  <dcterms:created xsi:type="dcterms:W3CDTF">2016-10-20T09:57:28Z</dcterms:created>
  <dcterms:modified xsi:type="dcterms:W3CDTF">2016-12-30T10:36:20Z</dcterms:modified>
</cp:coreProperties>
</file>